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1695" windowWidth="24240" windowHeight="13140"/>
  </bookViews>
  <sheets>
    <sheet name="RUAS" sheetId="1" r:id="rId1"/>
    <sheet name="DMT" sheetId="3" r:id="rId2"/>
  </sheets>
  <externalReferences>
    <externalReference r:id="rId3"/>
  </externalReferences>
  <definedNames>
    <definedName name="_xlnm.Print_Area" localSheetId="1">DMT!$A$1:$O$46</definedName>
    <definedName name="_xlnm.Print_Area" localSheetId="0">RUAS!$A$1:$N$69</definedName>
    <definedName name="_xlnm.Print_Titles" localSheetId="0">RUAS!$A:$N,RUAS!$1:$4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3" l="1"/>
  <c r="C36" i="3"/>
  <c r="D36" i="3"/>
  <c r="E36" i="3"/>
  <c r="F36" i="3"/>
  <c r="G36" i="3"/>
  <c r="H36" i="3"/>
  <c r="I36" i="3"/>
  <c r="J36" i="3"/>
  <c r="K36" i="3"/>
  <c r="B37" i="3"/>
  <c r="C37" i="3"/>
  <c r="D37" i="3"/>
  <c r="E37" i="3"/>
  <c r="F37" i="3"/>
  <c r="G37" i="3"/>
  <c r="H37" i="3"/>
  <c r="I37" i="3"/>
  <c r="J37" i="3"/>
  <c r="K37" i="3"/>
  <c r="N67" i="1"/>
  <c r="J67" i="1"/>
  <c r="J63" i="1"/>
  <c r="I51" i="1"/>
  <c r="T51" i="1"/>
  <c r="Q51" i="1"/>
  <c r="J51" i="1"/>
  <c r="K51" i="1" s="1"/>
  <c r="Q50" i="1"/>
  <c r="T50" i="1"/>
  <c r="J50" i="1"/>
  <c r="K50" i="1" s="1"/>
  <c r="P51" i="1" l="1"/>
  <c r="L51" i="1"/>
  <c r="M51" i="1" s="1"/>
  <c r="M52" i="1" s="1"/>
  <c r="L50" i="1"/>
  <c r="M50" i="1" s="1"/>
  <c r="P50" i="1"/>
  <c r="O51" i="1" l="1"/>
  <c r="N51" i="1"/>
  <c r="O50" i="1"/>
  <c r="N50" i="1"/>
  <c r="S51" i="1" l="1"/>
  <c r="N52" i="1"/>
  <c r="S50" i="1"/>
  <c r="B29" i="3" l="1"/>
  <c r="C29" i="3"/>
  <c r="D29" i="3"/>
  <c r="E29" i="3"/>
  <c r="F29" i="3"/>
  <c r="G29" i="3"/>
  <c r="H29" i="3"/>
  <c r="I29" i="3"/>
  <c r="J29" i="3"/>
  <c r="K35" i="1"/>
  <c r="L35" i="1"/>
  <c r="P35" i="1"/>
  <c r="Q35" i="1"/>
  <c r="T35" i="1"/>
  <c r="M35" i="1" l="1"/>
  <c r="N35" i="1" s="1"/>
  <c r="O35" i="1"/>
  <c r="K29" i="3" l="1"/>
  <c r="S35" i="1"/>
  <c r="V35" i="1" s="1"/>
  <c r="B12" i="3" l="1"/>
  <c r="C12" i="3"/>
  <c r="D12" i="3"/>
  <c r="E12" i="3"/>
  <c r="F12" i="3"/>
  <c r="G12" i="3"/>
  <c r="H12" i="3"/>
  <c r="G11" i="3"/>
  <c r="H11" i="3"/>
  <c r="F11" i="3"/>
  <c r="E11" i="3"/>
  <c r="B11" i="3"/>
  <c r="B7" i="3"/>
  <c r="C7" i="3"/>
  <c r="D7" i="3"/>
  <c r="E7" i="3"/>
  <c r="F7" i="3"/>
  <c r="G7" i="3"/>
  <c r="H7" i="3"/>
  <c r="B8" i="3"/>
  <c r="C8" i="3"/>
  <c r="D8" i="3"/>
  <c r="E8" i="3"/>
  <c r="F8" i="3"/>
  <c r="G8" i="3"/>
  <c r="H8" i="3"/>
  <c r="B9" i="3"/>
  <c r="C9" i="3"/>
  <c r="D9" i="3"/>
  <c r="E9" i="3"/>
  <c r="F9" i="3"/>
  <c r="G9" i="3"/>
  <c r="H9" i="3"/>
  <c r="B10" i="3"/>
  <c r="C10" i="3"/>
  <c r="D10" i="3"/>
  <c r="E10" i="3"/>
  <c r="F10" i="3"/>
  <c r="G10" i="3"/>
  <c r="H10" i="3"/>
  <c r="I10" i="3"/>
  <c r="I9" i="1" l="1"/>
  <c r="P9" i="1"/>
  <c r="S9" i="1"/>
  <c r="P10" i="1"/>
  <c r="S10" i="1"/>
  <c r="I9" i="3" l="1"/>
  <c r="J9" i="1"/>
  <c r="L9" i="1"/>
  <c r="M9" i="1" s="1"/>
  <c r="N9" i="1" s="1"/>
  <c r="O9" i="1" l="1"/>
  <c r="T9" i="1"/>
  <c r="K9" i="3"/>
  <c r="J9" i="3"/>
  <c r="Q9" i="1"/>
  <c r="I49" i="1"/>
  <c r="H31" i="3" l="1"/>
  <c r="G31" i="3"/>
  <c r="F31" i="3"/>
  <c r="E31" i="3"/>
  <c r="H32" i="3"/>
  <c r="G32" i="3"/>
  <c r="F32" i="3"/>
  <c r="E32" i="3"/>
  <c r="B32" i="3"/>
  <c r="B31" i="3"/>
  <c r="D32" i="3"/>
  <c r="C32" i="3"/>
  <c r="I39" i="3"/>
  <c r="I35" i="3"/>
  <c r="I28" i="3"/>
  <c r="I26" i="3"/>
  <c r="I13" i="3"/>
  <c r="I6" i="3"/>
  <c r="H42" i="3"/>
  <c r="H41" i="3"/>
  <c r="H40" i="3"/>
  <c r="H39" i="3"/>
  <c r="H38" i="3"/>
  <c r="H35" i="3"/>
  <c r="H34" i="3"/>
  <c r="H33" i="3"/>
  <c r="H30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6" i="3"/>
  <c r="G42" i="3"/>
  <c r="G41" i="3"/>
  <c r="G40" i="3"/>
  <c r="G39" i="3"/>
  <c r="G38" i="3"/>
  <c r="G35" i="3"/>
  <c r="G34" i="3"/>
  <c r="G33" i="3"/>
  <c r="G30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6" i="3"/>
  <c r="F42" i="3"/>
  <c r="F41" i="3"/>
  <c r="F40" i="3"/>
  <c r="F39" i="3"/>
  <c r="F38" i="3"/>
  <c r="F35" i="3"/>
  <c r="F34" i="3"/>
  <c r="F33" i="3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6" i="3"/>
  <c r="E42" i="3"/>
  <c r="E41" i="3"/>
  <c r="E40" i="3"/>
  <c r="E39" i="3"/>
  <c r="E38" i="3"/>
  <c r="E35" i="3"/>
  <c r="E34" i="3"/>
  <c r="E33" i="3"/>
  <c r="E30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6" i="3"/>
  <c r="B41" i="3"/>
  <c r="B42" i="3"/>
  <c r="B40" i="3"/>
  <c r="B39" i="3"/>
  <c r="B38" i="3"/>
  <c r="B35" i="3"/>
  <c r="B34" i="3"/>
  <c r="B33" i="3"/>
  <c r="B30" i="3"/>
  <c r="B28" i="3"/>
  <c r="B24" i="3"/>
  <c r="B25" i="3"/>
  <c r="B26" i="3"/>
  <c r="B27" i="3"/>
  <c r="B23" i="3"/>
  <c r="B16" i="3"/>
  <c r="B17" i="3"/>
  <c r="B18" i="3"/>
  <c r="B19" i="3"/>
  <c r="B20" i="3"/>
  <c r="B21" i="3"/>
  <c r="B22" i="3"/>
  <c r="B15" i="3"/>
  <c r="B13" i="3"/>
  <c r="B14" i="3"/>
  <c r="B6" i="3"/>
  <c r="O43" i="3"/>
  <c r="O45" i="3" s="1"/>
  <c r="D42" i="3"/>
  <c r="C42" i="3"/>
  <c r="D41" i="3"/>
  <c r="C41" i="3"/>
  <c r="D40" i="3"/>
  <c r="C40" i="3"/>
  <c r="D39" i="3"/>
  <c r="C39" i="3"/>
  <c r="D38" i="3"/>
  <c r="C38" i="3"/>
  <c r="D35" i="3"/>
  <c r="C35" i="3"/>
  <c r="D34" i="3"/>
  <c r="C34" i="3"/>
  <c r="D33" i="3"/>
  <c r="C33" i="3"/>
  <c r="D31" i="3"/>
  <c r="C31" i="3"/>
  <c r="D30" i="3"/>
  <c r="C30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1" i="3"/>
  <c r="C11" i="3"/>
  <c r="D6" i="3"/>
  <c r="C6" i="3"/>
  <c r="L43" i="3" l="1"/>
  <c r="L45" i="3" s="1"/>
  <c r="M43" i="3" l="1"/>
  <c r="M45" i="3" s="1"/>
  <c r="N43" i="3" l="1"/>
  <c r="N45" i="3" s="1"/>
  <c r="P7" i="1" l="1"/>
  <c r="P8" i="1"/>
  <c r="P12" i="1"/>
  <c r="Q12" i="1"/>
  <c r="P13" i="1"/>
  <c r="P14" i="1"/>
  <c r="P15" i="1"/>
  <c r="P16" i="1"/>
  <c r="P18" i="1"/>
  <c r="Q18" i="1"/>
  <c r="P19" i="1"/>
  <c r="P20" i="1"/>
  <c r="P21" i="1"/>
  <c r="P22" i="1"/>
  <c r="P23" i="1"/>
  <c r="P24" i="1"/>
  <c r="P25" i="1"/>
  <c r="P26" i="1"/>
  <c r="P28" i="1"/>
  <c r="Q28" i="1"/>
  <c r="Q29" i="1"/>
  <c r="Q30" i="1"/>
  <c r="Q31" i="1"/>
  <c r="Q32" i="1"/>
  <c r="Q33" i="1"/>
  <c r="Q34" i="1"/>
  <c r="P37" i="1"/>
  <c r="Q37" i="1"/>
  <c r="Q38" i="1"/>
  <c r="P40" i="1"/>
  <c r="Q40" i="1"/>
  <c r="P41" i="1"/>
  <c r="P42" i="1"/>
  <c r="P44" i="1"/>
  <c r="Q44" i="1"/>
  <c r="P45" i="1"/>
  <c r="P46" i="1"/>
  <c r="P48" i="1"/>
  <c r="Q48" i="1"/>
  <c r="Q49" i="1"/>
  <c r="P53" i="1"/>
  <c r="Q53" i="1"/>
  <c r="Q54" i="1"/>
  <c r="Q55" i="1"/>
  <c r="P57" i="1"/>
  <c r="Q57" i="1"/>
  <c r="P58" i="1"/>
  <c r="P59" i="1"/>
  <c r="P60" i="1"/>
  <c r="O12" i="1"/>
  <c r="O18" i="1"/>
  <c r="O28" i="1"/>
  <c r="O37" i="1"/>
  <c r="O40" i="1"/>
  <c r="O44" i="1"/>
  <c r="O48" i="1"/>
  <c r="O53" i="1"/>
  <c r="O55" i="1"/>
  <c r="O57" i="1"/>
  <c r="S60" i="1"/>
  <c r="S59" i="1"/>
  <c r="S58" i="1"/>
  <c r="T57" i="1"/>
  <c r="S57" i="1"/>
  <c r="T55" i="1"/>
  <c r="T54" i="1"/>
  <c r="T53" i="1"/>
  <c r="S53" i="1"/>
  <c r="T49" i="1"/>
  <c r="T48" i="1"/>
  <c r="S48" i="1"/>
  <c r="S46" i="1"/>
  <c r="S45" i="1"/>
  <c r="T44" i="1"/>
  <c r="S44" i="1"/>
  <c r="S42" i="1"/>
  <c r="S41" i="1"/>
  <c r="T40" i="1"/>
  <c r="S40" i="1"/>
  <c r="T38" i="1"/>
  <c r="T37" i="1"/>
  <c r="S37" i="1"/>
  <c r="T34" i="1"/>
  <c r="T33" i="1"/>
  <c r="T32" i="1"/>
  <c r="T31" i="1"/>
  <c r="T30" i="1"/>
  <c r="T29" i="1"/>
  <c r="T28" i="1"/>
  <c r="S28" i="1"/>
  <c r="S26" i="1"/>
  <c r="S25" i="1"/>
  <c r="S24" i="1"/>
  <c r="S23" i="1"/>
  <c r="S22" i="1"/>
  <c r="S21" i="1"/>
  <c r="S20" i="1"/>
  <c r="S19" i="1"/>
  <c r="T18" i="1"/>
  <c r="S18" i="1"/>
  <c r="S16" i="1"/>
  <c r="S15" i="1"/>
  <c r="S14" i="1"/>
  <c r="S13" i="1"/>
  <c r="T12" i="1"/>
  <c r="S12" i="1"/>
  <c r="S8" i="1"/>
  <c r="S7" i="1"/>
  <c r="S6" i="1"/>
  <c r="P6" i="1"/>
  <c r="V48" i="1" l="1"/>
  <c r="V28" i="1"/>
  <c r="V53" i="1"/>
  <c r="V12" i="1"/>
  <c r="V44" i="1"/>
  <c r="V40" i="1"/>
  <c r="V18" i="1"/>
  <c r="V57" i="1"/>
  <c r="V37" i="1"/>
  <c r="J55" i="1" l="1"/>
  <c r="L34" i="1"/>
  <c r="L55" i="1"/>
  <c r="J34" i="1"/>
  <c r="I33" i="1"/>
  <c r="J49" i="1"/>
  <c r="I13" i="1"/>
  <c r="J15" i="1"/>
  <c r="I11" i="3" l="1"/>
  <c r="J13" i="1"/>
  <c r="P34" i="1"/>
  <c r="J28" i="3"/>
  <c r="Q15" i="1"/>
  <c r="J13" i="3"/>
  <c r="J33" i="1"/>
  <c r="I27" i="3"/>
  <c r="P55" i="1"/>
  <c r="J39" i="3"/>
  <c r="J35" i="3"/>
  <c r="K49" i="1"/>
  <c r="P49" i="1"/>
  <c r="I41" i="1"/>
  <c r="L33" i="1" l="1"/>
  <c r="J11" i="3"/>
  <c r="K33" i="1"/>
  <c r="V69" i="1"/>
  <c r="L13" i="1"/>
  <c r="M13" i="1" s="1"/>
  <c r="O13" i="1" s="1"/>
  <c r="J41" i="1"/>
  <c r="I31" i="3"/>
  <c r="P33" i="1"/>
  <c r="J27" i="3"/>
  <c r="Q13" i="1"/>
  <c r="M33" i="1"/>
  <c r="I42" i="1"/>
  <c r="L15" i="1"/>
  <c r="M15" i="1" s="1"/>
  <c r="I14" i="1"/>
  <c r="I16" i="1"/>
  <c r="L41" i="1" l="1"/>
  <c r="K41" i="1"/>
  <c r="M41" i="1" s="1"/>
  <c r="O41" i="1" s="1"/>
  <c r="I12" i="3"/>
  <c r="J16" i="1"/>
  <c r="I14" i="3"/>
  <c r="J42" i="1"/>
  <c r="I32" i="3"/>
  <c r="J14" i="1"/>
  <c r="Q41" i="1"/>
  <c r="J31" i="3"/>
  <c r="N15" i="1"/>
  <c r="O15" i="1"/>
  <c r="N33" i="1"/>
  <c r="O33" i="1"/>
  <c r="N13" i="1"/>
  <c r="L14" i="1"/>
  <c r="I46" i="1"/>
  <c r="I45" i="1"/>
  <c r="I54" i="1"/>
  <c r="L16" i="1" l="1"/>
  <c r="J12" i="3"/>
  <c r="K11" i="3"/>
  <c r="Q42" i="1"/>
  <c r="J32" i="3"/>
  <c r="L42" i="1"/>
  <c r="Q16" i="1"/>
  <c r="J14" i="3"/>
  <c r="I33" i="3"/>
  <c r="S33" i="1"/>
  <c r="V33" i="1" s="1"/>
  <c r="K27" i="3"/>
  <c r="K42" i="1"/>
  <c r="J54" i="1"/>
  <c r="I38" i="3"/>
  <c r="J46" i="1"/>
  <c r="I34" i="3"/>
  <c r="Q14" i="1"/>
  <c r="T13" i="1"/>
  <c r="T15" i="1"/>
  <c r="V15" i="1" s="1"/>
  <c r="K13" i="3"/>
  <c r="N41" i="1"/>
  <c r="M14" i="1"/>
  <c r="O14" i="1" s="1"/>
  <c r="M16" i="1"/>
  <c r="N55" i="1"/>
  <c r="J32" i="1"/>
  <c r="I31" i="1"/>
  <c r="I30" i="1"/>
  <c r="I29" i="1"/>
  <c r="I38" i="1"/>
  <c r="L54" i="1" l="1"/>
  <c r="M42" i="1"/>
  <c r="M43" i="1" s="1"/>
  <c r="K54" i="1"/>
  <c r="P54" i="1"/>
  <c r="J38" i="3"/>
  <c r="I30" i="3"/>
  <c r="J29" i="1"/>
  <c r="L29" i="1" s="1"/>
  <c r="I23" i="3"/>
  <c r="J26" i="3"/>
  <c r="T41" i="1"/>
  <c r="V41" i="1" s="1"/>
  <c r="K31" i="3"/>
  <c r="S55" i="1"/>
  <c r="V55" i="1" s="1"/>
  <c r="K39" i="3"/>
  <c r="J30" i="1"/>
  <c r="I24" i="3"/>
  <c r="J31" i="1"/>
  <c r="I25" i="3"/>
  <c r="Q46" i="1"/>
  <c r="J34" i="3"/>
  <c r="N16" i="1"/>
  <c r="O16" i="1"/>
  <c r="K32" i="1"/>
  <c r="P32" i="1"/>
  <c r="M17" i="1"/>
  <c r="N14" i="1"/>
  <c r="M54" i="1"/>
  <c r="O54" i="1" s="1"/>
  <c r="L32" i="1"/>
  <c r="L31" i="1"/>
  <c r="I59" i="1"/>
  <c r="P30" i="1" l="1"/>
  <c r="K31" i="1"/>
  <c r="O42" i="1"/>
  <c r="K29" i="1"/>
  <c r="N42" i="1"/>
  <c r="K12" i="3"/>
  <c r="J24" i="3"/>
  <c r="K30" i="1"/>
  <c r="J59" i="1"/>
  <c r="I41" i="3"/>
  <c r="P29" i="1"/>
  <c r="J23" i="3"/>
  <c r="L30" i="1"/>
  <c r="M30" i="1" s="1"/>
  <c r="N30" i="1" s="1"/>
  <c r="T16" i="1"/>
  <c r="V16" i="1" s="1"/>
  <c r="K14" i="3"/>
  <c r="P31" i="1"/>
  <c r="J25" i="3"/>
  <c r="N17" i="1"/>
  <c r="T14" i="1"/>
  <c r="V14" i="1" s="1"/>
  <c r="M32" i="1"/>
  <c r="N54" i="1"/>
  <c r="M56" i="1"/>
  <c r="M31" i="1"/>
  <c r="M34" i="1"/>
  <c r="M29" i="1"/>
  <c r="I58" i="1"/>
  <c r="I60" i="1"/>
  <c r="O29" i="1" l="1"/>
  <c r="M36" i="1"/>
  <c r="T42" i="1"/>
  <c r="V42" i="1" s="1"/>
  <c r="N43" i="1"/>
  <c r="K32" i="3"/>
  <c r="L59" i="1"/>
  <c r="M59" i="1" s="1"/>
  <c r="O59" i="1" s="1"/>
  <c r="S30" i="1"/>
  <c r="V30" i="1" s="1"/>
  <c r="K24" i="3"/>
  <c r="J41" i="3"/>
  <c r="I40" i="3"/>
  <c r="K38" i="3"/>
  <c r="O30" i="1"/>
  <c r="I42" i="3"/>
  <c r="Q59" i="1"/>
  <c r="N31" i="1"/>
  <c r="O31" i="1"/>
  <c r="N56" i="1"/>
  <c r="S54" i="1"/>
  <c r="V54" i="1" s="1"/>
  <c r="N32" i="1"/>
  <c r="O32" i="1"/>
  <c r="N34" i="1"/>
  <c r="O34" i="1"/>
  <c r="N59" i="1"/>
  <c r="N29" i="1"/>
  <c r="J60" i="1"/>
  <c r="J58" i="1"/>
  <c r="N36" i="1" l="1"/>
  <c r="S32" i="1"/>
  <c r="K26" i="3"/>
  <c r="K23" i="3"/>
  <c r="T59" i="1"/>
  <c r="V59" i="1" s="1"/>
  <c r="K41" i="3"/>
  <c r="Q58" i="1"/>
  <c r="J40" i="3"/>
  <c r="J42" i="3"/>
  <c r="S31" i="1"/>
  <c r="V31" i="1" s="1"/>
  <c r="K25" i="3"/>
  <c r="S34" i="1"/>
  <c r="V34" i="1" s="1"/>
  <c r="K28" i="3"/>
  <c r="S29" i="1"/>
  <c r="L60" i="1"/>
  <c r="M60" i="1" s="1"/>
  <c r="Q60" i="1"/>
  <c r="L58" i="1"/>
  <c r="M58" i="1" s="1"/>
  <c r="O58" i="1" s="1"/>
  <c r="N60" i="1" l="1"/>
  <c r="O60" i="1"/>
  <c r="V29" i="1"/>
  <c r="L49" i="1"/>
  <c r="M49" i="1" s="1"/>
  <c r="N58" i="1"/>
  <c r="M61" i="1"/>
  <c r="L46" i="1"/>
  <c r="K46" i="1"/>
  <c r="K40" i="3" l="1"/>
  <c r="T60" i="1"/>
  <c r="V60" i="1" s="1"/>
  <c r="K42" i="3"/>
  <c r="N61" i="1"/>
  <c r="T58" i="1"/>
  <c r="V58" i="1" s="1"/>
  <c r="N49" i="1"/>
  <c r="O49" i="1"/>
  <c r="M46" i="1"/>
  <c r="J38" i="1"/>
  <c r="P38" i="1" l="1"/>
  <c r="J30" i="3"/>
  <c r="K35" i="3"/>
  <c r="P63" i="1"/>
  <c r="N46" i="1"/>
  <c r="O46" i="1"/>
  <c r="S49" i="1"/>
  <c r="K38" i="1"/>
  <c r="L38" i="1"/>
  <c r="L10" i="1"/>
  <c r="L6" i="1"/>
  <c r="P134" i="1" l="1"/>
  <c r="J65" i="1"/>
  <c r="T46" i="1"/>
  <c r="V46" i="1" s="1"/>
  <c r="K34" i="3"/>
  <c r="V49" i="1"/>
  <c r="V70" i="1"/>
  <c r="M38" i="1"/>
  <c r="I8" i="1"/>
  <c r="I7" i="1"/>
  <c r="J6" i="1"/>
  <c r="I8" i="3" l="1"/>
  <c r="I7" i="3"/>
  <c r="Q6" i="1"/>
  <c r="J6" i="3"/>
  <c r="L8" i="1"/>
  <c r="M39" i="1"/>
  <c r="O38" i="1"/>
  <c r="N38" i="1"/>
  <c r="J7" i="1"/>
  <c r="L7" i="1"/>
  <c r="M7" i="1" s="1"/>
  <c r="J8" i="1"/>
  <c r="J10" i="1"/>
  <c r="M6" i="1"/>
  <c r="O6" i="1" s="1"/>
  <c r="J7" i="3" l="1"/>
  <c r="Q10" i="1"/>
  <c r="J10" i="3"/>
  <c r="S69" i="1"/>
  <c r="J8" i="3"/>
  <c r="S38" i="1"/>
  <c r="V38" i="1" s="1"/>
  <c r="K30" i="3"/>
  <c r="Q7" i="1"/>
  <c r="N7" i="1"/>
  <c r="O7" i="1"/>
  <c r="M8" i="1"/>
  <c r="Q8" i="1"/>
  <c r="M10" i="1"/>
  <c r="O10" i="1" s="1"/>
  <c r="N39" i="1"/>
  <c r="N6" i="1"/>
  <c r="I25" i="1"/>
  <c r="I19" i="1"/>
  <c r="I20" i="1"/>
  <c r="I21" i="1"/>
  <c r="I22" i="1"/>
  <c r="I24" i="1"/>
  <c r="I23" i="1"/>
  <c r="I26" i="1"/>
  <c r="K7" i="3" l="1"/>
  <c r="Y7" i="1"/>
  <c r="J68" i="1" s="1"/>
  <c r="J25" i="1"/>
  <c r="I21" i="3"/>
  <c r="K6" i="3"/>
  <c r="T7" i="1"/>
  <c r="V7" i="1" s="1"/>
  <c r="I18" i="3"/>
  <c r="I19" i="3"/>
  <c r="M11" i="1"/>
  <c r="J21" i="1"/>
  <c r="L21" i="1" s="1"/>
  <c r="M21" i="1" s="1"/>
  <c r="I17" i="3"/>
  <c r="I15" i="3"/>
  <c r="I22" i="3"/>
  <c r="I20" i="3"/>
  <c r="S63" i="1"/>
  <c r="I16" i="3"/>
  <c r="T6" i="1"/>
  <c r="Q25" i="1"/>
  <c r="N8" i="1"/>
  <c r="O8" i="1"/>
  <c r="N10" i="1"/>
  <c r="J19" i="1"/>
  <c r="J20" i="1"/>
  <c r="J22" i="1"/>
  <c r="J24" i="1"/>
  <c r="J23" i="1"/>
  <c r="J26" i="1"/>
  <c r="L25" i="1" l="1"/>
  <c r="M25" i="1" s="1"/>
  <c r="T10" i="1"/>
  <c r="V10" i="1" s="1"/>
  <c r="K10" i="3"/>
  <c r="N65" i="1"/>
  <c r="S70" i="1"/>
  <c r="S134" i="1" s="1"/>
  <c r="K8" i="3"/>
  <c r="Q21" i="1"/>
  <c r="Q20" i="1"/>
  <c r="J16" i="3"/>
  <c r="J17" i="3"/>
  <c r="T8" i="1"/>
  <c r="V8" i="1" s="1"/>
  <c r="Q22" i="1"/>
  <c r="J18" i="3"/>
  <c r="Q19" i="1"/>
  <c r="J15" i="3"/>
  <c r="Q26" i="1"/>
  <c r="J22" i="3"/>
  <c r="J19" i="3"/>
  <c r="J21" i="3"/>
  <c r="Q24" i="1"/>
  <c r="J20" i="3"/>
  <c r="N21" i="1"/>
  <c r="O21" i="1"/>
  <c r="N25" i="1"/>
  <c r="O25" i="1"/>
  <c r="L23" i="1"/>
  <c r="M23" i="1" s="1"/>
  <c r="Q23" i="1"/>
  <c r="V6" i="1"/>
  <c r="N11" i="1"/>
  <c r="L20" i="1"/>
  <c r="M20" i="1" s="1"/>
  <c r="L24" i="1"/>
  <c r="M24" i="1" s="1"/>
  <c r="L22" i="1"/>
  <c r="M22" i="1" s="1"/>
  <c r="L19" i="1"/>
  <c r="M19" i="1" s="1"/>
  <c r="O19" i="1" s="1"/>
  <c r="L26" i="1"/>
  <c r="M26" i="1" s="1"/>
  <c r="T21" i="1" l="1"/>
  <c r="V21" i="1" s="1"/>
  <c r="K17" i="3"/>
  <c r="Y8" i="1"/>
  <c r="T25" i="1"/>
  <c r="V25" i="1" s="1"/>
  <c r="K21" i="3"/>
  <c r="N23" i="1"/>
  <c r="O23" i="1"/>
  <c r="N24" i="1"/>
  <c r="O24" i="1"/>
  <c r="N26" i="1"/>
  <c r="O26" i="1"/>
  <c r="N22" i="1"/>
  <c r="O22" i="1"/>
  <c r="N20" i="1"/>
  <c r="O20" i="1"/>
  <c r="N19" i="1"/>
  <c r="M27" i="1"/>
  <c r="T20" i="1" l="1"/>
  <c r="V20" i="1" s="1"/>
  <c r="K16" i="3"/>
  <c r="T22" i="1"/>
  <c r="V22" i="1" s="1"/>
  <c r="K18" i="3"/>
  <c r="T26" i="1"/>
  <c r="V26" i="1" s="1"/>
  <c r="K22" i="3"/>
  <c r="T23" i="1"/>
  <c r="K19" i="3"/>
  <c r="T19" i="1"/>
  <c r="V19" i="1" s="1"/>
  <c r="K15" i="3"/>
  <c r="T24" i="1"/>
  <c r="V24" i="1" s="1"/>
  <c r="K20" i="3"/>
  <c r="N27" i="1"/>
  <c r="J45" i="1"/>
  <c r="J33" i="3" l="1"/>
  <c r="H45" i="3" s="1"/>
  <c r="Q45" i="1"/>
  <c r="Q63" i="1" s="1"/>
  <c r="J66" i="1" s="1"/>
  <c r="J69" i="1" s="1"/>
  <c r="L45" i="1"/>
  <c r="K45" i="1"/>
  <c r="Q65" i="1" l="1"/>
  <c r="P135" i="1" s="1"/>
  <c r="P136" i="1" s="1"/>
  <c r="M45" i="1"/>
  <c r="M47" i="1" l="1"/>
  <c r="M63" i="1" s="1"/>
  <c r="M72" i="1" s="1"/>
  <c r="O45" i="1"/>
  <c r="O63" i="1" s="1"/>
  <c r="N45" i="1"/>
  <c r="K33" i="3" l="1"/>
  <c r="N47" i="1"/>
  <c r="T45" i="1"/>
  <c r="M46" i="3" l="1"/>
  <c r="O46" i="3"/>
  <c r="N46" i="3"/>
  <c r="L46" i="3"/>
  <c r="K43" i="3"/>
  <c r="K45" i="3" s="1"/>
  <c r="V45" i="1"/>
  <c r="T63" i="1"/>
  <c r="N66" i="1" s="1"/>
  <c r="N69" i="1" s="1"/>
  <c r="U64" i="1" l="1"/>
  <c r="S135" i="1"/>
  <c r="S136" i="1" s="1"/>
  <c r="N63" i="1"/>
  <c r="V63" i="1" s="1"/>
</calcChain>
</file>

<file path=xl/sharedStrings.xml><?xml version="1.0" encoding="utf-8"?>
<sst xmlns="http://schemas.openxmlformats.org/spreadsheetml/2006/main" count="240" uniqueCount="137">
  <si>
    <r>
      <rPr>
        <b/>
        <i/>
        <sz val="13"/>
        <rFont val="Times New Roman"/>
        <charset val="134"/>
      </rPr>
      <t>PREFEITURA MUNICIPAL DE PORTO UNIÃO</t>
    </r>
  </si>
  <si>
    <t>RUAS A PAVIMENTAR: CARACTERÍSTICAS, ÁREA, VOLUME</t>
  </si>
  <si>
    <t>Recape: 3cm</t>
  </si>
  <si>
    <t>Capa: 4cm</t>
  </si>
  <si>
    <t>RUA</t>
  </si>
  <si>
    <t>TRECHO</t>
  </si>
  <si>
    <t>TIPO</t>
  </si>
  <si>
    <t>COMPRIMENTO</t>
  </si>
  <si>
    <t>LARGURA</t>
  </si>
  <si>
    <t>Area de Gola/ Limpa rodas</t>
  </si>
  <si>
    <t>AREA</t>
  </si>
  <si>
    <t>AREA TOTAL</t>
  </si>
  <si>
    <t>VOLUME REPERFILAGEM</t>
  </si>
  <si>
    <t>VOLUME CAPA</t>
  </si>
  <si>
    <t>VOLUME TOTAL m³</t>
  </si>
  <si>
    <t>TONELADAS</t>
  </si>
  <si>
    <t>R</t>
  </si>
  <si>
    <t>PRUDENTE DE MORAES</t>
  </si>
  <si>
    <t>TOTAL</t>
  </si>
  <si>
    <t>Total geral</t>
  </si>
  <si>
    <t>ÁREA</t>
  </si>
  <si>
    <t>RECAPE</t>
  </si>
  <si>
    <t>NOVA</t>
  </si>
  <si>
    <t>PLANILHA COM AS DISTANCIAS MÉDIAS DE TRANSPORTE PARA O CBUQ USINADO E PARA TRANSPORTE DO MATERIAL FRESADO</t>
  </si>
  <si>
    <t xml:space="preserve">            Data: JANEIRO/2021</t>
  </si>
  <si>
    <t>Area de Gola /limpa rodas</t>
  </si>
  <si>
    <t>DMT CBUQ</t>
  </si>
  <si>
    <t>DMT FRESADO</t>
  </si>
  <si>
    <t>Não Pavimentada</t>
  </si>
  <si>
    <t>Pavimentada</t>
  </si>
  <si>
    <t>SANTOS DUMONT</t>
  </si>
  <si>
    <t>TOTAIS</t>
  </si>
  <si>
    <t>Média Ponderada</t>
  </si>
  <si>
    <t>JOÃO CODAGNONE</t>
  </si>
  <si>
    <t>ENIO G. NOGARA</t>
  </si>
  <si>
    <t>IPIRANGA</t>
  </si>
  <si>
    <t>GUMERCINDO ZAMBONI</t>
  </si>
  <si>
    <t>FELICIO STROBINO</t>
  </si>
  <si>
    <t>ADRIANO SCHOR</t>
  </si>
  <si>
    <t>N</t>
  </si>
  <si>
    <t>TANCREDO ALMEIDA NEVES</t>
  </si>
  <si>
    <t>BELA VISTA - Conjunto Porto União</t>
  </si>
  <si>
    <t>CORONEL BELARMINO</t>
  </si>
  <si>
    <t>13 DE MAIO</t>
  </si>
  <si>
    <t>CENTRO</t>
  </si>
  <si>
    <t>BRIGADEIRO EDUARDO GOMES</t>
  </si>
  <si>
    <t>PADRE JOROSLAU SUSA</t>
  </si>
  <si>
    <t>INICIO</t>
  </si>
  <si>
    <t>ALCINO CALDEIRA</t>
  </si>
  <si>
    <t>JOAO CODAGNONE</t>
  </si>
  <si>
    <t>PADRE JEROSLAU SUSA</t>
  </si>
  <si>
    <t>ALLAN KARDEK</t>
  </si>
  <si>
    <t>ESTEVÃO JUK</t>
  </si>
  <si>
    <t>15 DE NOVEMBRO</t>
  </si>
  <si>
    <t>ALFREDO DA LUZ</t>
  </si>
  <si>
    <t>BRUNO STORCK</t>
  </si>
  <si>
    <t xml:space="preserve"> CORONEL AMAZONAS</t>
  </si>
  <si>
    <t>ÁREA INDUSTRIAL</t>
  </si>
  <si>
    <t>WENZEL RULF</t>
  </si>
  <si>
    <t>FINAL</t>
  </si>
  <si>
    <t>VALDIR LEMOS DE CAMARGO</t>
  </si>
  <si>
    <t>PAULISTA</t>
  </si>
  <si>
    <t>8,23/6,30</t>
  </si>
  <si>
    <t>Conf. projeto</t>
  </si>
  <si>
    <t>RUAS DA ÁREA INDUSTRIAL 5 CM DE CAPA</t>
  </si>
  <si>
    <t>Densidade</t>
  </si>
  <si>
    <t>SANTA ROSA</t>
  </si>
  <si>
    <t>EXP. EUGENIO ALVES DA SILVA</t>
  </si>
  <si>
    <t>SÃO FRANCISCO</t>
  </si>
  <si>
    <t>ANTONIO DOMIT</t>
  </si>
  <si>
    <t>SEBASTIANA PERREIRA</t>
  </si>
  <si>
    <t>AV. JOÃO PESSOA</t>
  </si>
  <si>
    <t>JAQUELINO RAMOS</t>
  </si>
  <si>
    <t>VICE KING</t>
  </si>
  <si>
    <t>BERNARDINO ALVES PEREIRA</t>
  </si>
  <si>
    <t>JOSE TESTI</t>
  </si>
  <si>
    <t>CURVA</t>
  </si>
  <si>
    <t>90 METROS DO INICIO</t>
  </si>
  <si>
    <t>SEBASTIAO ARAUJO</t>
  </si>
  <si>
    <t>FRANCISCO DE SOUZA BACELAR</t>
  </si>
  <si>
    <t>LOMBADAS FRANCISCO DE SOUZA BACELAR</t>
  </si>
  <si>
    <t>TV BERNARDINO ALVES PEREIRA</t>
  </si>
  <si>
    <t>SETE DE SETEMBRO</t>
  </si>
  <si>
    <t>CORREÇÃO DO ENCAIXE DA RUA</t>
  </si>
  <si>
    <t>MATOS COSTAS</t>
  </si>
  <si>
    <t>10,17*</t>
  </si>
  <si>
    <t>CIDADE NOVA</t>
  </si>
  <si>
    <t>ACESSO FUNDOS COLEGIO CID</t>
  </si>
  <si>
    <t>ENTRADA</t>
  </si>
  <si>
    <t xml:space="preserve">            Data: Janeiro/2022</t>
  </si>
  <si>
    <t>SÃO PEDRO</t>
  </si>
  <si>
    <t xml:space="preserve">BELA VISTA </t>
  </si>
  <si>
    <t>HELMUTH MULLER</t>
  </si>
  <si>
    <t>JOSÉ KRETSCHEK</t>
  </si>
  <si>
    <t>CICLOVIA</t>
  </si>
  <si>
    <t xml:space="preserve">FINAL DO TRECHO EXISTENTE </t>
  </si>
  <si>
    <t>SANTA CRUZ DO TIMBÓ</t>
  </si>
  <si>
    <t>SECONDO ELESEO BERTOLUZZI</t>
  </si>
  <si>
    <t>FINAL DO ASFALTO</t>
  </si>
  <si>
    <t>CICLOFAIXA</t>
  </si>
  <si>
    <t>PORTAL</t>
  </si>
  <si>
    <t>1º DE JANEIRO</t>
  </si>
  <si>
    <t>PONTE</t>
  </si>
  <si>
    <t>FELIPE SCHMITT</t>
  </si>
  <si>
    <t>63,6 DO FINAL DO ASFALTO</t>
  </si>
  <si>
    <t>SALOMAO KHURY</t>
  </si>
  <si>
    <t>TRECHOS ESPECIFICADOS EM PROJETO</t>
  </si>
  <si>
    <t>2 LOMBADAS</t>
  </si>
  <si>
    <t>22.1</t>
  </si>
  <si>
    <t>LOMBADA MATOS COSTA</t>
  </si>
  <si>
    <t>UNIDADE PRISIONAL  AVANÇADA</t>
  </si>
  <si>
    <t>Conf. Projeto</t>
  </si>
  <si>
    <t>9*</t>
  </si>
  <si>
    <t>JOSE CASEMIRO SWIERK</t>
  </si>
  <si>
    <t xml:space="preserve">ÁREA </t>
  </si>
  <si>
    <t>VOLUME</t>
  </si>
  <si>
    <t xml:space="preserve">RECAPE </t>
  </si>
  <si>
    <t>SOMATÓRIO</t>
  </si>
  <si>
    <t>nova cap borracha</t>
  </si>
  <si>
    <t>recap cap borracha</t>
  </si>
  <si>
    <t>CAP BORRACHA</t>
  </si>
  <si>
    <t>CAP        50/70</t>
  </si>
  <si>
    <t xml:space="preserve">MARCADAS EM AZUL: UTILIZAÇÃO DE CAP BORRACHA AB8 </t>
  </si>
  <si>
    <t>Observação: Ruas que estão marcadas em azul serão fresadas e será aplicado diretamente 4 cm de capa asfáltica</t>
  </si>
  <si>
    <t xml:space="preserve">ÁREA MARECHAL </t>
  </si>
  <si>
    <t>260,9M²</t>
  </si>
  <si>
    <t>HORTENCIO BAPTISTA DOS SANTOS</t>
  </si>
  <si>
    <t>VALFRIDO A DOS SANTOS</t>
  </si>
  <si>
    <t>ATE PORTAO DO TERRENO DA EMPRESA</t>
  </si>
  <si>
    <t>RUAS SETE DE SETEMBRO</t>
  </si>
  <si>
    <t xml:space="preserve">RUA SIQUEIRA CAMPOS </t>
  </si>
  <si>
    <t>TRECHO MARCADO EM PROJETO</t>
  </si>
  <si>
    <t>25.1</t>
  </si>
  <si>
    <t>TREVO COM AVENIDA DOS FERROVIÁRIOS</t>
  </si>
  <si>
    <t>RUA WENCESLAU BRAZ</t>
  </si>
  <si>
    <t>TREVO COM AVENIDA DOS FERROVIÁRIOS E TRECHO COM RUA AZIZ DOMINGUES</t>
  </si>
  <si>
    <t>31.1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</si>
</sst>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_ "/>
    <numFmt numFmtId="165" formatCode="#,000.00_ "/>
    <numFmt numFmtId="166" formatCode="#,###.00_ "/>
    <numFmt numFmtId="167" formatCode="#,000.00"/>
    <numFmt numFmtId="168" formatCode="0.00_);[Red]\(0.00\)"/>
    <numFmt numFmtId="169" formatCode="#,000_ "/>
    <numFmt numFmtId="170" formatCode="_-* #,###.00_-;\-* #,###.00_-;_-* &quot;-&quot;??_-;_-@_-"/>
  </numFmts>
  <fonts count="9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i/>
      <sz val="13"/>
      <name val="Times New Roman"/>
      <charset val="134"/>
    </font>
    <font>
      <b/>
      <u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theme="1"/>
      <name val="Calibri"/>
      <charset val="134"/>
      <scheme val="minor"/>
    </font>
    <font>
      <b/>
      <i/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3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vertical="center" wrapText="1"/>
    </xf>
    <xf numFmtId="43" fontId="4" fillId="5" borderId="5" xfId="1" applyFont="1" applyFill="1" applyBorder="1" applyAlignment="1">
      <alignment vertical="center"/>
    </xf>
    <xf numFmtId="0" fontId="0" fillId="0" borderId="10" xfId="0" applyBorder="1"/>
    <xf numFmtId="0" fontId="0" fillId="2" borderId="5" xfId="0" applyFill="1" applyBorder="1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5" borderId="5" xfId="0" applyFont="1" applyFill="1" applyBorder="1"/>
    <xf numFmtId="0" fontId="0" fillId="6" borderId="0" xfId="0" applyFill="1"/>
    <xf numFmtId="0" fontId="0" fillId="7" borderId="0" xfId="0" applyFill="1"/>
    <xf numFmtId="0" fontId="0" fillId="0" borderId="8" xfId="0" applyFont="1" applyBorder="1"/>
    <xf numFmtId="43" fontId="4" fillId="5" borderId="5" xfId="1" applyFont="1" applyFill="1" applyBorder="1"/>
    <xf numFmtId="166" fontId="4" fillId="5" borderId="5" xfId="1" applyNumberFormat="1" applyFont="1" applyFill="1" applyBorder="1"/>
    <xf numFmtId="0" fontId="6" fillId="0" borderId="0" xfId="0" applyFont="1" applyAlignment="1">
      <alignment horizontal="center"/>
    </xf>
    <xf numFmtId="43" fontId="4" fillId="5" borderId="6" xfId="1" applyFont="1" applyFill="1" applyBorder="1"/>
    <xf numFmtId="2" fontId="4" fillId="5" borderId="6" xfId="1" applyNumberFormat="1" applyFont="1" applyFill="1" applyBorder="1"/>
    <xf numFmtId="0" fontId="0" fillId="8" borderId="6" xfId="0" applyFont="1" applyFill="1" applyBorder="1" applyAlignment="1">
      <alignment horizontal="center"/>
    </xf>
    <xf numFmtId="0" fontId="0" fillId="9" borderId="0" xfId="0" applyFont="1" applyFill="1"/>
    <xf numFmtId="0" fontId="5" fillId="2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left" vertical="center"/>
    </xf>
    <xf numFmtId="0" fontId="0" fillId="8" borderId="5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center" vertical="center"/>
    </xf>
    <xf numFmtId="0" fontId="0" fillId="8" borderId="5" xfId="0" applyFill="1" applyBorder="1" applyAlignment="1">
      <alignment vertical="center"/>
    </xf>
    <xf numFmtId="0" fontId="0" fillId="8" borderId="5" xfId="0" applyFill="1" applyBorder="1" applyAlignment="1">
      <alignment horizontal="right" vertical="center"/>
    </xf>
    <xf numFmtId="0" fontId="0" fillId="8" borderId="5" xfId="0" applyFont="1" applyFill="1" applyBorder="1" applyAlignment="1">
      <alignment horizontal="right" vertical="center"/>
    </xf>
    <xf numFmtId="0" fontId="0" fillId="8" borderId="5" xfId="0" applyFont="1" applyFill="1" applyBorder="1" applyAlignment="1">
      <alignment vertical="center"/>
    </xf>
    <xf numFmtId="164" fontId="0" fillId="8" borderId="5" xfId="0" applyNumberFormat="1" applyFont="1" applyFill="1" applyBorder="1" applyAlignment="1"/>
    <xf numFmtId="164" fontId="0" fillId="8" borderId="5" xfId="0" applyNumberFormat="1" applyFill="1" applyBorder="1" applyAlignment="1"/>
    <xf numFmtId="0" fontId="1" fillId="5" borderId="5" xfId="0" applyFont="1" applyFill="1" applyBorder="1" applyAlignment="1"/>
    <xf numFmtId="164" fontId="1" fillId="5" borderId="6" xfId="0" applyNumberFormat="1" applyFont="1" applyFill="1" applyBorder="1" applyAlignment="1"/>
    <xf numFmtId="165" fontId="1" fillId="5" borderId="6" xfId="0" applyNumberFormat="1" applyFont="1" applyFill="1" applyBorder="1" applyAlignment="1"/>
    <xf numFmtId="0" fontId="1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164" fontId="0" fillId="2" borderId="5" xfId="0" applyNumberFormat="1" applyFont="1" applyFill="1" applyBorder="1" applyAlignment="1"/>
    <xf numFmtId="164" fontId="0" fillId="2" borderId="5" xfId="0" applyNumberFormat="1" applyFill="1" applyBorder="1" applyAlignment="1"/>
    <xf numFmtId="2" fontId="0" fillId="2" borderId="5" xfId="0" applyNumberFormat="1" applyFont="1" applyFill="1" applyBorder="1" applyAlignment="1">
      <alignment vertical="center"/>
    </xf>
    <xf numFmtId="2" fontId="1" fillId="5" borderId="6" xfId="0" applyNumberFormat="1" applyFont="1" applyFill="1" applyBorder="1" applyAlignment="1"/>
    <xf numFmtId="0" fontId="1" fillId="0" borderId="0" xfId="0" applyFont="1" applyAlignment="1"/>
    <xf numFmtId="0" fontId="0" fillId="0" borderId="0" xfId="0" applyFont="1" applyAlignment="1"/>
    <xf numFmtId="0" fontId="0" fillId="2" borderId="5" xfId="0" applyFill="1" applyBorder="1" applyAlignment="1">
      <alignment horizontal="right" vertical="center"/>
    </xf>
    <xf numFmtId="43" fontId="0" fillId="0" borderId="0" xfId="0" applyNumberFormat="1" applyFont="1"/>
    <xf numFmtId="0" fontId="4" fillId="5" borderId="6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7" fontId="0" fillId="0" borderId="0" xfId="0" applyNumberFormat="1"/>
    <xf numFmtId="164" fontId="0" fillId="2" borderId="0" xfId="0" applyNumberFormat="1" applyFill="1"/>
    <xf numFmtId="168" fontId="0" fillId="2" borderId="0" xfId="0" applyNumberFormat="1" applyFill="1"/>
    <xf numFmtId="0" fontId="8" fillId="11" borderId="0" xfId="0" applyFont="1" applyFill="1"/>
    <xf numFmtId="2" fontId="0" fillId="0" borderId="0" xfId="0" applyNumberFormat="1"/>
    <xf numFmtId="164" fontId="0" fillId="0" borderId="0" xfId="0" applyNumberFormat="1"/>
    <xf numFmtId="169" fontId="0" fillId="0" borderId="0" xfId="0" applyNumberFormat="1"/>
    <xf numFmtId="165" fontId="0" fillId="0" borderId="0" xfId="0" applyNumberFormat="1"/>
    <xf numFmtId="0" fontId="0" fillId="2" borderId="5" xfId="0" applyFill="1" applyBorder="1" applyAlignment="1">
      <alignment horizontal="right"/>
    </xf>
    <xf numFmtId="0" fontId="0" fillId="12" borderId="5" xfId="0" applyFill="1" applyBorder="1" applyAlignment="1">
      <alignment vertical="center"/>
    </xf>
    <xf numFmtId="0" fontId="4" fillId="12" borderId="5" xfId="0" applyFont="1" applyFill="1" applyBorder="1" applyAlignment="1">
      <alignment vertical="center"/>
    </xf>
    <xf numFmtId="4" fontId="0" fillId="0" borderId="0" xfId="0" applyNumberFormat="1"/>
    <xf numFmtId="0" fontId="4" fillId="5" borderId="6" xfId="0" applyFont="1" applyFill="1" applyBorder="1" applyAlignment="1"/>
    <xf numFmtId="164" fontId="0" fillId="0" borderId="0" xfId="0" applyNumberFormat="1" applyFont="1"/>
    <xf numFmtId="0" fontId="0" fillId="13" borderId="6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left" vertical="center"/>
    </xf>
    <xf numFmtId="0" fontId="0" fillId="13" borderId="5" xfId="0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center" vertical="center"/>
    </xf>
    <xf numFmtId="0" fontId="0" fillId="13" borderId="5" xfId="0" applyFill="1" applyBorder="1" applyAlignment="1">
      <alignment vertical="center"/>
    </xf>
    <xf numFmtId="0" fontId="0" fillId="13" borderId="5" xfId="0" applyFont="1" applyFill="1" applyBorder="1" applyAlignment="1">
      <alignment horizontal="right" vertical="center"/>
    </xf>
    <xf numFmtId="0" fontId="0" fillId="13" borderId="5" xfId="0" applyFont="1" applyFill="1" applyBorder="1" applyAlignment="1">
      <alignment vertical="center"/>
    </xf>
    <xf numFmtId="164" fontId="0" fillId="13" borderId="5" xfId="0" applyNumberFormat="1" applyFont="1" applyFill="1" applyBorder="1" applyAlignment="1"/>
    <xf numFmtId="164" fontId="0" fillId="13" borderId="5" xfId="0" applyNumberFormat="1" applyFill="1" applyBorder="1" applyAlignment="1"/>
    <xf numFmtId="0" fontId="3" fillId="14" borderId="5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1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12" borderId="11" xfId="0" applyFill="1" applyBorder="1" applyAlignment="1">
      <alignment vertical="center"/>
    </xf>
    <xf numFmtId="170" fontId="0" fillId="12" borderId="5" xfId="0" applyNumberForma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2" fontId="4" fillId="5" borderId="5" xfId="1" applyNumberFormat="1" applyFont="1" applyFill="1" applyBorder="1" applyAlignment="1">
      <alignment vertical="center"/>
    </xf>
    <xf numFmtId="4" fontId="4" fillId="5" borderId="5" xfId="1" applyNumberFormat="1" applyFont="1" applyFill="1" applyBorder="1" applyAlignment="1">
      <alignment vertical="center"/>
    </xf>
    <xf numFmtId="168" fontId="4" fillId="12" borderId="5" xfId="0" applyNumberFormat="1" applyFont="1" applyFill="1" applyBorder="1" applyAlignment="1">
      <alignment vertical="center"/>
    </xf>
    <xf numFmtId="0" fontId="0" fillId="2" borderId="0" xfId="0" applyFill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0" fontId="3" fillId="15" borderId="6" xfId="0" applyFont="1" applyFill="1" applyBorder="1" applyAlignment="1">
      <alignment vertical="center" wrapText="1"/>
    </xf>
    <xf numFmtId="0" fontId="3" fillId="15" borderId="7" xfId="0" applyFont="1" applyFill="1" applyBorder="1" applyAlignment="1">
      <alignment vertical="center" wrapText="1"/>
    </xf>
    <xf numFmtId="0" fontId="3" fillId="15" borderId="1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0" fontId="0" fillId="13" borderId="7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40821</xdr:rowOff>
    </xdr:from>
    <xdr:to>
      <xdr:col>1</xdr:col>
      <xdr:colOff>121663</xdr:colOff>
      <xdr:row>3</xdr:row>
      <xdr:rowOff>12246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21"/>
          <a:ext cx="421020" cy="651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19050</xdr:rowOff>
    </xdr:from>
    <xdr:ext cx="416938" cy="571500"/>
    <xdr:pic>
      <xdr:nvPicPr>
        <xdr:cNvPr id="2" name="image1.jpeg">
          <a:extLst>
            <a:ext uri="{FF2B5EF4-FFF2-40B4-BE49-F238E27FC236}">
              <a16:creationId xmlns:a16="http://schemas.microsoft.com/office/drawing/2014/main" xmlns="" id="{CDA7B33B-E187-4F97-AEEA-719F91F9A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571500"/>
        </a:xfrm>
        <a:prstGeom prst="rect">
          <a:avLst/>
        </a:prstGeom>
      </xdr:spPr>
    </xdr:pic>
    <xdr:clientData/>
  </xdr:oneCellAnchor>
  <xdr:oneCellAnchor>
    <xdr:from>
      <xdr:col>0</xdr:col>
      <xdr:colOff>19051</xdr:colOff>
      <xdr:row>0</xdr:row>
      <xdr:rowOff>19050</xdr:rowOff>
    </xdr:from>
    <xdr:ext cx="416938" cy="569383"/>
    <xdr:pic>
      <xdr:nvPicPr>
        <xdr:cNvPr id="3" name="image1.jpeg">
          <a:extLst>
            <a:ext uri="{FF2B5EF4-FFF2-40B4-BE49-F238E27FC236}">
              <a16:creationId xmlns:a16="http://schemas.microsoft.com/office/drawing/2014/main" xmlns="" id="{35B472E4-3883-4221-82A2-3F6420BA0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56938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UIVOS%20PLANEJAMENTO\A_GUILHERME\LISTA%20DAS%20RUAS\LISTA%20DE%20RUA%20PRONTAS\RUAS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S"/>
      <sheetName val="DMT"/>
      <sheetName val="Plan1"/>
    </sheetNames>
    <sheetDataSet>
      <sheetData sheetId="0">
        <row r="6">
          <cell r="C6" t="str">
            <v xml:space="preserve">PORTUGUAL </v>
          </cell>
          <cell r="D6" t="str">
            <v>ITALIA</v>
          </cell>
        </row>
        <row r="7">
          <cell r="C7" t="str">
            <v xml:space="preserve">PORTUGUAL </v>
          </cell>
          <cell r="D7" t="str">
            <v>ITALIA</v>
          </cell>
        </row>
        <row r="8">
          <cell r="C8" t="str">
            <v>ITALIA</v>
          </cell>
          <cell r="D8" t="str">
            <v>ALEMANHA</v>
          </cell>
        </row>
        <row r="9">
          <cell r="C9" t="str">
            <v xml:space="preserve">PORTUGUAL </v>
          </cell>
          <cell r="D9" t="str">
            <v>ITALIA</v>
          </cell>
        </row>
        <row r="10">
          <cell r="C10" t="str">
            <v>POLONIA</v>
          </cell>
          <cell r="D10" t="str">
            <v>FINAL DO TERRENO DA ULTIMA CASA</v>
          </cell>
        </row>
        <row r="11">
          <cell r="C11" t="str">
            <v xml:space="preserve">JOSÉ KRETSCHEK </v>
          </cell>
          <cell r="D11" t="str">
            <v>ABDALA A. DOMINGOS</v>
          </cell>
        </row>
        <row r="12">
          <cell r="C12">
            <v>0</v>
          </cell>
          <cell r="D12">
            <v>0</v>
          </cell>
        </row>
        <row r="15">
          <cell r="C15" t="str">
            <v>PRUDENTE DE MORAES</v>
          </cell>
          <cell r="D15" t="str">
            <v>TRECHO RUIM</v>
          </cell>
        </row>
        <row r="16">
          <cell r="C16" t="str">
            <v xml:space="preserve">FREI ROGERIO </v>
          </cell>
          <cell r="D16" t="str">
            <v>84 METROS DA ESQUINA</v>
          </cell>
        </row>
        <row r="17">
          <cell r="C17" t="str">
            <v>SETE DE SETEMBRO</v>
          </cell>
          <cell r="D17" t="str">
            <v>GENERAL BORMANN</v>
          </cell>
        </row>
        <row r="18">
          <cell r="C18" t="str">
            <v>SETE DE SETEMBRO</v>
          </cell>
          <cell r="D18" t="str">
            <v>GENERAL BORMANN</v>
          </cell>
        </row>
        <row r="19">
          <cell r="C19" t="str">
            <v>GENERAL BORMANN</v>
          </cell>
          <cell r="D19" t="str">
            <v>13 DE MAIO</v>
          </cell>
        </row>
        <row r="20">
          <cell r="C20" t="str">
            <v xml:space="preserve">JOSÉ BOIUTEX </v>
          </cell>
          <cell r="D20" t="str">
            <v xml:space="preserve">FINAL DO GINASIO </v>
          </cell>
        </row>
        <row r="21">
          <cell r="C21" t="str">
            <v>ESQUINA COM JOSÉ BOIUTEX</v>
          </cell>
          <cell r="D21">
            <v>0</v>
          </cell>
        </row>
        <row r="22">
          <cell r="C22" t="str">
            <v xml:space="preserve">FREI ROGERIO </v>
          </cell>
          <cell r="D22" t="str">
            <v>JOSÉ BOITEUX</v>
          </cell>
        </row>
        <row r="25">
          <cell r="C25" t="str">
            <v>AV. JOÃO PESSOA</v>
          </cell>
          <cell r="D25" t="str">
            <v>TEODORO KROETZ</v>
          </cell>
        </row>
        <row r="26">
          <cell r="C26" t="str">
            <v>CONS. MAFRA</v>
          </cell>
          <cell r="D26" t="str">
            <v>VOLUNTARIOS DA PATRIA</v>
          </cell>
        </row>
        <row r="29">
          <cell r="C29" t="str">
            <v>WILLIBALDO J MULLER</v>
          </cell>
          <cell r="D29" t="str">
            <v>HELMUTH MULLER</v>
          </cell>
        </row>
        <row r="30">
          <cell r="C30" t="str">
            <v>HELMUTH MULLER</v>
          </cell>
          <cell r="D30" t="str">
            <v>INICIO DA BASE</v>
          </cell>
        </row>
        <row r="31">
          <cell r="C31" t="str">
            <v>INICIO DA BASE</v>
          </cell>
          <cell r="D31" t="str">
            <v>FINAL</v>
          </cell>
        </row>
        <row r="34">
          <cell r="C34" t="str">
            <v>SC 135</v>
          </cell>
          <cell r="D34" t="str">
            <v>79 METROS DEPOIS DO PORTAL</v>
          </cell>
        </row>
        <row r="37">
          <cell r="C37" t="str">
            <v>RODOLFO MATZEMBACHER</v>
          </cell>
          <cell r="D37" t="str">
            <v>FRANCISCO DE SOUZA BACELAR</v>
          </cell>
        </row>
        <row r="44">
          <cell r="C44" t="str">
            <v>AV. SANTA ROSA</v>
          </cell>
          <cell r="D44" t="str">
            <v>PROF. WEINAND</v>
          </cell>
        </row>
        <row r="45">
          <cell r="C45" t="str">
            <v>PROF WEINAND</v>
          </cell>
          <cell r="D45" t="str">
            <v>FINAL DO TERRENO DA ULTIMA CASA</v>
          </cell>
        </row>
        <row r="46">
          <cell r="C46" t="str">
            <v>ANA DOMINGAS BABIRESKI</v>
          </cell>
          <cell r="D46" t="str">
            <v>EXPEDICIONARIO EDMUNDO ARRABAR</v>
          </cell>
        </row>
        <row r="47">
          <cell r="C47" t="str">
            <v>INTEIRA</v>
          </cell>
          <cell r="D47">
            <v>0</v>
          </cell>
        </row>
        <row r="48">
          <cell r="C48" t="str">
            <v>GUSTAVO TENNIUS DE MEDEIROS</v>
          </cell>
          <cell r="D48" t="str">
            <v>CIDADÃO JOSÉ LONA</v>
          </cell>
        </row>
        <row r="49">
          <cell r="C49" t="str">
            <v>ENCONTRO COM ORLANDO SAVI</v>
          </cell>
          <cell r="D49">
            <v>0</v>
          </cell>
        </row>
        <row r="50">
          <cell r="C50" t="str">
            <v>CIDADÃO JOSÉ LONA</v>
          </cell>
          <cell r="D50" t="str">
            <v>FRANCISCO DE PAULA DIAS</v>
          </cell>
        </row>
        <row r="51">
          <cell r="C51" t="str">
            <v xml:space="preserve">FRANCISCO DE PAULA DIAS </v>
          </cell>
          <cell r="D51" t="str">
            <v>HERMINIO MILLIS</v>
          </cell>
        </row>
        <row r="73">
          <cell r="C73" t="str">
            <v>JAIME MATZEMBACHER</v>
          </cell>
          <cell r="D73" t="str">
            <v>VEREADOR OTTO EGGERS</v>
          </cell>
        </row>
        <row r="74">
          <cell r="C74" t="str">
            <v>VEREADOR OTTO EGGERS</v>
          </cell>
          <cell r="D74" t="str">
            <v xml:space="preserve">MARECHAL DEODORO DA FONSECA </v>
          </cell>
        </row>
        <row r="75">
          <cell r="C75" t="str">
            <v>HUMBERTO ZARANTONIELO</v>
          </cell>
          <cell r="D75" t="str">
            <v>ABEL BERTOLON</v>
          </cell>
        </row>
        <row r="76">
          <cell r="C76" t="str">
            <v>VEREADOR OTTO EGGERS</v>
          </cell>
          <cell r="D76" t="str">
            <v xml:space="preserve">MARECHAL DEODORO DA FONSECA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tabSelected="1" topLeftCell="C46" zoomScale="90" zoomScaleNormal="90" workbookViewId="0">
      <selection activeCell="G60" sqref="G60"/>
    </sheetView>
  </sheetViews>
  <sheetFormatPr defaultColWidth="9.140625" defaultRowHeight="15"/>
  <cols>
    <col min="1" max="1" width="4.42578125" style="16" customWidth="1"/>
    <col min="2" max="2" width="39.5703125" style="17" customWidth="1"/>
    <col min="3" max="3" width="44.42578125" style="18" customWidth="1"/>
    <col min="4" max="4" width="42.42578125" style="18" customWidth="1"/>
    <col min="5" max="5" width="5.140625" style="18" customWidth="1"/>
    <col min="6" max="6" width="15.140625" style="18" customWidth="1"/>
    <col min="7" max="7" width="14.140625" style="18" customWidth="1"/>
    <col min="8" max="8" width="13.7109375" style="18" customWidth="1"/>
    <col min="9" max="10" width="14.5703125" style="18" customWidth="1"/>
    <col min="11" max="11" width="14.28515625" style="18" customWidth="1"/>
    <col min="12" max="12" width="13.42578125" style="18" customWidth="1"/>
    <col min="13" max="14" width="14.5703125" style="18" customWidth="1"/>
    <col min="16" max="16" width="11.140625" bestFit="1" customWidth="1"/>
    <col min="17" max="17" width="10" bestFit="1" customWidth="1"/>
    <col min="19" max="19" width="10.28515625" bestFit="1" customWidth="1"/>
    <col min="20" max="20" width="8.7109375" bestFit="1" customWidth="1"/>
    <col min="22" max="22" width="12.140625" customWidth="1"/>
    <col min="23" max="16384" width="9.140625" style="18"/>
  </cols>
  <sheetData>
    <row r="1" spans="1:25" ht="17.2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25" ht="21" customHeight="1">
      <c r="A2" s="19"/>
      <c r="B2" s="115" t="s">
        <v>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25">
      <c r="A3" s="20"/>
      <c r="B3" s="6" t="s">
        <v>89</v>
      </c>
      <c r="K3" s="25" t="s">
        <v>2</v>
      </c>
      <c r="L3" s="26" t="s">
        <v>3</v>
      </c>
      <c r="M3" s="34" t="s">
        <v>65</v>
      </c>
      <c r="N3" s="27"/>
    </row>
    <row r="4" spans="1:25" ht="45">
      <c r="A4" s="21"/>
      <c r="B4" s="8" t="s">
        <v>4</v>
      </c>
      <c r="C4" s="117" t="s">
        <v>5</v>
      </c>
      <c r="D4" s="117"/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9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P4" t="s">
        <v>114</v>
      </c>
      <c r="S4" t="s">
        <v>115</v>
      </c>
    </row>
    <row r="5" spans="1:25">
      <c r="A5" s="22"/>
      <c r="B5" s="106" t="s">
        <v>57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P5" t="s">
        <v>116</v>
      </c>
      <c r="Q5" t="s">
        <v>22</v>
      </c>
      <c r="S5" t="s">
        <v>116</v>
      </c>
      <c r="T5" t="s">
        <v>22</v>
      </c>
    </row>
    <row r="6" spans="1:25">
      <c r="A6" s="33">
        <v>1</v>
      </c>
      <c r="B6" s="36" t="s">
        <v>54</v>
      </c>
      <c r="C6" s="37" t="s">
        <v>58</v>
      </c>
      <c r="D6" s="37" t="s">
        <v>59</v>
      </c>
      <c r="E6" s="38" t="s">
        <v>39</v>
      </c>
      <c r="F6" s="39">
        <v>122.5</v>
      </c>
      <c r="G6" s="40" t="s">
        <v>62</v>
      </c>
      <c r="H6" s="41"/>
      <c r="I6" s="42">
        <v>883.23</v>
      </c>
      <c r="J6" s="42">
        <f t="shared" ref="J6:J10" si="0">I6+H6</f>
        <v>883.23</v>
      </c>
      <c r="K6" s="43"/>
      <c r="L6" s="44">
        <f>I6*0.05</f>
        <v>44.161500000000004</v>
      </c>
      <c r="M6" s="44">
        <f t="shared" ref="M6:M10" si="1">L6+K6</f>
        <v>44.161500000000004</v>
      </c>
      <c r="N6" s="44">
        <f>M6*2.56</f>
        <v>113.05344000000001</v>
      </c>
      <c r="O6" s="65">
        <f t="shared" ref="O6:O60" si="2">M6</f>
        <v>44.161500000000004</v>
      </c>
      <c r="P6" s="1">
        <f t="shared" ref="P6" si="3">IF(E6="R",J6,0)</f>
        <v>0</v>
      </c>
      <c r="Q6" s="1">
        <f t="shared" ref="Q6" si="4">IF(E6="N",J6,0)</f>
        <v>883.23</v>
      </c>
      <c r="R6" s="1"/>
      <c r="S6" s="1">
        <f t="shared" ref="S6:S60" si="5">IF(E6="R",N6,0)</f>
        <v>0</v>
      </c>
      <c r="T6" s="66">
        <f t="shared" ref="T6:T60" si="6">IF(E6="N",N6,0)</f>
        <v>113.05344000000001</v>
      </c>
      <c r="U6" s="1"/>
      <c r="V6" s="67">
        <f>S6+T6-N6</f>
        <v>0</v>
      </c>
    </row>
    <row r="7" spans="1:25">
      <c r="A7" s="33">
        <v>2</v>
      </c>
      <c r="B7" s="36" t="s">
        <v>55</v>
      </c>
      <c r="C7" s="37" t="s">
        <v>58</v>
      </c>
      <c r="D7" s="37" t="s">
        <v>59</v>
      </c>
      <c r="E7" s="38" t="s">
        <v>39</v>
      </c>
      <c r="F7" s="39">
        <v>128</v>
      </c>
      <c r="G7" s="39">
        <v>7.43</v>
      </c>
      <c r="H7" s="41"/>
      <c r="I7" s="42">
        <f t="shared" ref="I7" si="7">(F7*G7)</f>
        <v>951.04</v>
      </c>
      <c r="J7" s="42">
        <f t="shared" ref="J7" si="8">I7+H7</f>
        <v>951.04</v>
      </c>
      <c r="K7" s="43"/>
      <c r="L7" s="44">
        <f>I7*0.05</f>
        <v>47.552</v>
      </c>
      <c r="M7" s="44">
        <f t="shared" ref="M7" si="9">L7+K7</f>
        <v>47.552</v>
      </c>
      <c r="N7" s="44">
        <f t="shared" ref="N7" si="10">M7*2.56</f>
        <v>121.73312</v>
      </c>
      <c r="O7" s="65">
        <f t="shared" si="2"/>
        <v>47.552</v>
      </c>
      <c r="P7" s="1">
        <f t="shared" ref="P7:P60" si="11">IF(E7="R",J7,0)</f>
        <v>0</v>
      </c>
      <c r="Q7" s="1">
        <f t="shared" ref="Q7:Q60" si="12">IF(E7="N",J7,0)</f>
        <v>951.04</v>
      </c>
      <c r="R7" s="1"/>
      <c r="S7" s="1">
        <f t="shared" si="5"/>
        <v>0</v>
      </c>
      <c r="T7" s="66">
        <f t="shared" si="6"/>
        <v>121.73312</v>
      </c>
      <c r="U7" s="1"/>
      <c r="V7" s="67">
        <f t="shared" ref="V7:V63" si="13">S7+T7-N7</f>
        <v>0</v>
      </c>
      <c r="X7" s="18" t="s">
        <v>10</v>
      </c>
      <c r="Y7" s="18">
        <f>SUM(Q6:Q10)</f>
        <v>10945.97</v>
      </c>
    </row>
    <row r="8" spans="1:25">
      <c r="A8" s="33">
        <v>3</v>
      </c>
      <c r="B8" s="36" t="s">
        <v>60</v>
      </c>
      <c r="C8" s="37" t="s">
        <v>61</v>
      </c>
      <c r="D8" s="37" t="s">
        <v>128</v>
      </c>
      <c r="E8" s="38" t="s">
        <v>39</v>
      </c>
      <c r="F8" s="39">
        <v>153.5</v>
      </c>
      <c r="G8" s="39">
        <v>9.1</v>
      </c>
      <c r="H8" s="41"/>
      <c r="I8" s="42">
        <f t="shared" ref="I8" si="14">(F8*G8)</f>
        <v>1396.85</v>
      </c>
      <c r="J8" s="42">
        <f t="shared" ref="J8:J9" si="15">I8+H8</f>
        <v>1396.85</v>
      </c>
      <c r="K8" s="43"/>
      <c r="L8" s="44">
        <f>I8*0.05</f>
        <v>69.842500000000001</v>
      </c>
      <c r="M8" s="44">
        <f t="shared" ref="M8" si="16">L8+K8</f>
        <v>69.842500000000001</v>
      </c>
      <c r="N8" s="44">
        <f t="shared" ref="N8" si="17">M8*2.56</f>
        <v>178.79680000000002</v>
      </c>
      <c r="O8" s="65">
        <f t="shared" si="2"/>
        <v>69.842500000000001</v>
      </c>
      <c r="P8" s="1">
        <f t="shared" si="11"/>
        <v>0</v>
      </c>
      <c r="Q8" s="1">
        <f t="shared" si="12"/>
        <v>1396.85</v>
      </c>
      <c r="R8" s="1"/>
      <c r="S8" s="1">
        <f t="shared" si="5"/>
        <v>0</v>
      </c>
      <c r="T8" s="66">
        <f t="shared" si="6"/>
        <v>178.79680000000002</v>
      </c>
      <c r="U8" s="1"/>
      <c r="V8" s="67">
        <f t="shared" si="13"/>
        <v>0</v>
      </c>
      <c r="X8" s="18" t="s">
        <v>115</v>
      </c>
      <c r="Y8" s="78">
        <f>SUM(T6:T10)</f>
        <v>1401.0841600000001</v>
      </c>
    </row>
    <row r="9" spans="1:25">
      <c r="A9" s="33">
        <v>4</v>
      </c>
      <c r="B9" s="36" t="s">
        <v>126</v>
      </c>
      <c r="C9" s="37" t="s">
        <v>127</v>
      </c>
      <c r="D9" s="37" t="s">
        <v>59</v>
      </c>
      <c r="E9" s="38" t="s">
        <v>39</v>
      </c>
      <c r="F9" s="39">
        <v>428</v>
      </c>
      <c r="G9" s="39">
        <v>9</v>
      </c>
      <c r="H9" s="41"/>
      <c r="I9" s="42">
        <f>F9*G9</f>
        <v>3852</v>
      </c>
      <c r="J9" s="42">
        <f t="shared" si="15"/>
        <v>3852</v>
      </c>
      <c r="K9" s="43"/>
      <c r="L9" s="44">
        <f>I9*0.05</f>
        <v>192.60000000000002</v>
      </c>
      <c r="M9" s="44">
        <f t="shared" ref="M9" si="18">L9+K9</f>
        <v>192.60000000000002</v>
      </c>
      <c r="N9" s="44">
        <f t="shared" ref="N9" si="19">M9*2.56</f>
        <v>493.0560000000001</v>
      </c>
      <c r="O9" s="65">
        <f t="shared" ref="O9:O10" si="20">M9</f>
        <v>192.60000000000002</v>
      </c>
      <c r="P9" s="1">
        <f t="shared" ref="P9:P10" si="21">IF(E9="R",J9,0)</f>
        <v>0</v>
      </c>
      <c r="Q9" s="1">
        <f t="shared" ref="Q9:Q10" si="22">IF(E9="N",J9,0)</f>
        <v>3852</v>
      </c>
      <c r="R9" s="1"/>
      <c r="S9" s="1">
        <f t="shared" ref="S9:S10" si="23">IF(E9="R",N9,0)</f>
        <v>0</v>
      </c>
      <c r="T9" s="66">
        <f t="shared" ref="T9:T10" si="24">IF(E9="N",N9,0)</f>
        <v>493.0560000000001</v>
      </c>
      <c r="U9" s="1"/>
      <c r="V9" s="67"/>
      <c r="Y9" s="78"/>
    </row>
    <row r="10" spans="1:25">
      <c r="A10" s="33">
        <v>5</v>
      </c>
      <c r="B10" s="36" t="s">
        <v>58</v>
      </c>
      <c r="C10" s="37" t="s">
        <v>61</v>
      </c>
      <c r="D10" s="37" t="s">
        <v>59</v>
      </c>
      <c r="E10" s="38" t="s">
        <v>39</v>
      </c>
      <c r="F10" s="39">
        <v>414.3</v>
      </c>
      <c r="G10" s="40" t="s">
        <v>63</v>
      </c>
      <c r="H10" s="41"/>
      <c r="I10" s="42">
        <v>3862.85</v>
      </c>
      <c r="J10" s="42">
        <f t="shared" si="0"/>
        <v>3862.85</v>
      </c>
      <c r="K10" s="43"/>
      <c r="L10" s="44">
        <f>I10*0.05</f>
        <v>193.14250000000001</v>
      </c>
      <c r="M10" s="44">
        <f t="shared" si="1"/>
        <v>193.14250000000001</v>
      </c>
      <c r="N10" s="44">
        <f t="shared" ref="N10" si="25">M10*2.56</f>
        <v>494.44480000000004</v>
      </c>
      <c r="O10" s="65">
        <f t="shared" si="20"/>
        <v>193.14250000000001</v>
      </c>
      <c r="P10" s="1">
        <f t="shared" si="21"/>
        <v>0</v>
      </c>
      <c r="Q10" s="1">
        <f t="shared" si="22"/>
        <v>3862.85</v>
      </c>
      <c r="R10" s="1"/>
      <c r="S10" s="1">
        <f t="shared" si="23"/>
        <v>0</v>
      </c>
      <c r="T10" s="66">
        <f t="shared" si="24"/>
        <v>494.44480000000004</v>
      </c>
      <c r="U10" s="1"/>
      <c r="V10" s="67">
        <f t="shared" si="13"/>
        <v>0</v>
      </c>
    </row>
    <row r="11" spans="1:25">
      <c r="A11" s="22"/>
      <c r="B11" s="109"/>
      <c r="C11" s="110"/>
      <c r="D11" s="110"/>
      <c r="E11" s="110"/>
      <c r="F11" s="110"/>
      <c r="G11" s="110"/>
      <c r="H11" s="110"/>
      <c r="I11" s="110"/>
      <c r="J11" s="110"/>
      <c r="K11" s="111"/>
      <c r="L11" s="45" t="s">
        <v>18</v>
      </c>
      <c r="M11" s="46">
        <f>SUM(M6:M10)</f>
        <v>547.2985000000001</v>
      </c>
      <c r="N11" s="47">
        <f>SUM(N6:N10)</f>
        <v>1401.0841600000001</v>
      </c>
      <c r="O11" s="65"/>
      <c r="P11" s="1"/>
      <c r="Q11" s="1"/>
      <c r="R11" s="1"/>
      <c r="S11" s="1"/>
      <c r="T11" s="66"/>
      <c r="U11" s="1"/>
      <c r="V11" s="67"/>
    </row>
    <row r="12" spans="1:25">
      <c r="A12" s="22"/>
      <c r="B12" s="106" t="s">
        <v>91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  <c r="O12" s="65">
        <f t="shared" si="2"/>
        <v>0</v>
      </c>
      <c r="P12" s="1">
        <f t="shared" si="11"/>
        <v>0</v>
      </c>
      <c r="Q12" s="1">
        <f t="shared" si="12"/>
        <v>0</v>
      </c>
      <c r="R12" s="1"/>
      <c r="S12" s="1">
        <f t="shared" si="5"/>
        <v>0</v>
      </c>
      <c r="T12" s="66">
        <f t="shared" si="6"/>
        <v>0</v>
      </c>
      <c r="V12" s="67">
        <f t="shared" si="13"/>
        <v>0</v>
      </c>
    </row>
    <row r="13" spans="1:25">
      <c r="A13" s="23">
        <v>6</v>
      </c>
      <c r="B13" s="48" t="s">
        <v>94</v>
      </c>
      <c r="C13" s="49" t="s">
        <v>95</v>
      </c>
      <c r="D13" s="49" t="s">
        <v>102</v>
      </c>
      <c r="E13" s="35" t="s">
        <v>39</v>
      </c>
      <c r="F13" s="50">
        <v>120.7</v>
      </c>
      <c r="G13" s="50">
        <v>4.4000000000000004</v>
      </c>
      <c r="H13" s="51"/>
      <c r="I13" s="52">
        <f>F13*G13</f>
        <v>531.08000000000004</v>
      </c>
      <c r="J13" s="52">
        <f>I13+H13</f>
        <v>531.08000000000004</v>
      </c>
      <c r="K13" s="53"/>
      <c r="L13" s="54">
        <f>J13*0.04</f>
        <v>21.243200000000002</v>
      </c>
      <c r="M13" s="54">
        <f>L13+K13</f>
        <v>21.243200000000002</v>
      </c>
      <c r="N13" s="54">
        <f>M13*2.56</f>
        <v>54.382592000000002</v>
      </c>
      <c r="O13" s="65">
        <f t="shared" si="2"/>
        <v>21.243200000000002</v>
      </c>
      <c r="P13" s="1">
        <f t="shared" si="11"/>
        <v>0</v>
      </c>
      <c r="Q13" s="1">
        <f t="shared" si="12"/>
        <v>531.08000000000004</v>
      </c>
      <c r="R13" s="1"/>
      <c r="S13" s="1">
        <f t="shared" si="5"/>
        <v>0</v>
      </c>
      <c r="T13" s="66">
        <f t="shared" si="6"/>
        <v>54.382592000000002</v>
      </c>
      <c r="V13" s="67"/>
    </row>
    <row r="14" spans="1:25">
      <c r="A14" s="23">
        <v>7</v>
      </c>
      <c r="B14" s="48" t="s">
        <v>94</v>
      </c>
      <c r="C14" s="49" t="s">
        <v>102</v>
      </c>
      <c r="D14" s="49" t="s">
        <v>105</v>
      </c>
      <c r="E14" s="35" t="s">
        <v>39</v>
      </c>
      <c r="F14" s="50">
        <v>574.29999999999995</v>
      </c>
      <c r="G14" s="50">
        <v>4.4000000000000004</v>
      </c>
      <c r="H14" s="51">
        <v>65</v>
      </c>
      <c r="I14" s="52">
        <f>F14*G14</f>
        <v>2526.92</v>
      </c>
      <c r="J14" s="52">
        <f>I14+H14</f>
        <v>2591.92</v>
      </c>
      <c r="K14" s="53"/>
      <c r="L14" s="54">
        <f>J14*0.04</f>
        <v>103.6768</v>
      </c>
      <c r="M14" s="54">
        <f>L14+K14</f>
        <v>103.6768</v>
      </c>
      <c r="N14" s="54">
        <f>M14*2.56</f>
        <v>265.41260799999998</v>
      </c>
      <c r="O14" s="65">
        <f t="shared" si="2"/>
        <v>103.6768</v>
      </c>
      <c r="P14" s="1">
        <f t="shared" si="11"/>
        <v>0</v>
      </c>
      <c r="Q14" s="1">
        <f t="shared" si="12"/>
        <v>2591.92</v>
      </c>
      <c r="R14" s="1"/>
      <c r="S14" s="1">
        <f t="shared" si="5"/>
        <v>0</v>
      </c>
      <c r="T14" s="66">
        <f t="shared" si="6"/>
        <v>265.41260799999998</v>
      </c>
      <c r="U14" s="1"/>
      <c r="V14" s="67">
        <f t="shared" si="13"/>
        <v>0</v>
      </c>
    </row>
    <row r="15" spans="1:25">
      <c r="A15" s="23">
        <v>8</v>
      </c>
      <c r="B15" s="48" t="s">
        <v>93</v>
      </c>
      <c r="C15" s="49" t="s">
        <v>92</v>
      </c>
      <c r="D15" s="49"/>
      <c r="E15" s="35" t="s">
        <v>39</v>
      </c>
      <c r="F15" s="59" t="s">
        <v>111</v>
      </c>
      <c r="G15" s="59" t="s">
        <v>112</v>
      </c>
      <c r="H15" s="51"/>
      <c r="I15" s="51">
        <v>2018.02</v>
      </c>
      <c r="J15" s="52">
        <f>I15+H15</f>
        <v>2018.02</v>
      </c>
      <c r="K15" s="53"/>
      <c r="L15" s="54">
        <f>J15*0.04</f>
        <v>80.720799999999997</v>
      </c>
      <c r="M15" s="54">
        <f>L15+K15</f>
        <v>80.720799999999997</v>
      </c>
      <c r="N15" s="54">
        <f>M15*2.56</f>
        <v>206.64524800000001</v>
      </c>
      <c r="O15" s="65">
        <f t="shared" si="2"/>
        <v>80.720799999999997</v>
      </c>
      <c r="P15" s="1">
        <f t="shared" si="11"/>
        <v>0</v>
      </c>
      <c r="Q15" s="1">
        <f t="shared" si="12"/>
        <v>2018.02</v>
      </c>
      <c r="R15" s="1"/>
      <c r="S15" s="1">
        <f t="shared" si="5"/>
        <v>0</v>
      </c>
      <c r="T15" s="66">
        <f t="shared" si="6"/>
        <v>206.64524800000001</v>
      </c>
      <c r="U15" s="68"/>
      <c r="V15" s="67">
        <f t="shared" si="13"/>
        <v>0</v>
      </c>
    </row>
    <row r="16" spans="1:25">
      <c r="A16" s="23">
        <v>9</v>
      </c>
      <c r="B16" s="48" t="s">
        <v>97</v>
      </c>
      <c r="C16" s="49" t="s">
        <v>98</v>
      </c>
      <c r="D16" s="49" t="s">
        <v>104</v>
      </c>
      <c r="E16" s="35" t="s">
        <v>39</v>
      </c>
      <c r="F16" s="50">
        <v>63.6</v>
      </c>
      <c r="G16" s="50">
        <v>8.6</v>
      </c>
      <c r="H16" s="51">
        <v>24.6</v>
      </c>
      <c r="I16" s="52">
        <f>F16*G16</f>
        <v>546.96</v>
      </c>
      <c r="J16" s="52">
        <f>I16+H16</f>
        <v>571.56000000000006</v>
      </c>
      <c r="K16" s="53"/>
      <c r="L16" s="54">
        <f>J16*0.04</f>
        <v>22.862400000000004</v>
      </c>
      <c r="M16" s="54">
        <f>L16+K16</f>
        <v>22.862400000000004</v>
      </c>
      <c r="N16" s="54">
        <f>M16*2.56</f>
        <v>58.527744000000013</v>
      </c>
      <c r="O16" s="65">
        <f t="shared" si="2"/>
        <v>22.862400000000004</v>
      </c>
      <c r="P16" s="1">
        <f t="shared" si="11"/>
        <v>0</v>
      </c>
      <c r="Q16" s="1">
        <f t="shared" si="12"/>
        <v>571.56000000000006</v>
      </c>
      <c r="R16" s="1"/>
      <c r="S16" s="1">
        <f t="shared" si="5"/>
        <v>0</v>
      </c>
      <c r="T16" s="66">
        <f t="shared" si="6"/>
        <v>58.527744000000013</v>
      </c>
      <c r="V16" s="67">
        <f t="shared" si="13"/>
        <v>0</v>
      </c>
    </row>
    <row r="17" spans="1:22">
      <c r="A17" s="22"/>
      <c r="B17" s="109"/>
      <c r="C17" s="110"/>
      <c r="D17" s="110"/>
      <c r="E17" s="110"/>
      <c r="F17" s="110"/>
      <c r="G17" s="110"/>
      <c r="H17" s="110"/>
      <c r="I17" s="110"/>
      <c r="J17" s="110"/>
      <c r="K17" s="111"/>
      <c r="L17" s="45" t="s">
        <v>18</v>
      </c>
      <c r="M17" s="46">
        <f>SUM(M13:M16)</f>
        <v>228.50320000000002</v>
      </c>
      <c r="N17" s="56">
        <f>SUM(N13:N16)</f>
        <v>584.96819199999993</v>
      </c>
      <c r="O17" s="65"/>
      <c r="P17" s="1"/>
      <c r="Q17" s="1"/>
      <c r="R17" s="1"/>
      <c r="S17" s="1"/>
      <c r="T17" s="66"/>
      <c r="U17" s="1"/>
      <c r="V17" s="67"/>
    </row>
    <row r="18" spans="1:22">
      <c r="A18" s="22"/>
      <c r="B18" s="106" t="s">
        <v>41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65">
        <f t="shared" si="2"/>
        <v>0</v>
      </c>
      <c r="P18" s="1">
        <f t="shared" si="11"/>
        <v>0</v>
      </c>
      <c r="Q18" s="1">
        <f t="shared" si="12"/>
        <v>0</v>
      </c>
      <c r="R18" s="1"/>
      <c r="S18" s="1">
        <f t="shared" si="5"/>
        <v>0</v>
      </c>
      <c r="T18" s="66">
        <f t="shared" si="6"/>
        <v>0</v>
      </c>
      <c r="V18" s="67">
        <f t="shared" si="13"/>
        <v>0</v>
      </c>
    </row>
    <row r="19" spans="1:22">
      <c r="A19" s="23">
        <v>10</v>
      </c>
      <c r="B19" s="48" t="s">
        <v>38</v>
      </c>
      <c r="C19" s="49" t="s">
        <v>45</v>
      </c>
      <c r="D19" s="49" t="s">
        <v>37</v>
      </c>
      <c r="E19" s="35" t="s">
        <v>39</v>
      </c>
      <c r="F19" s="12">
        <v>32.880000000000003</v>
      </c>
      <c r="G19" s="50">
        <v>6</v>
      </c>
      <c r="H19" s="51"/>
      <c r="I19" s="52">
        <f t="shared" ref="I19" si="26">(F19*G19)</f>
        <v>197.28000000000003</v>
      </c>
      <c r="J19" s="52">
        <f t="shared" ref="J19" si="27">I19+H19</f>
        <v>197.28000000000003</v>
      </c>
      <c r="K19" s="53"/>
      <c r="L19" s="54">
        <f>J19*0.04</f>
        <v>7.8912000000000013</v>
      </c>
      <c r="M19" s="54">
        <f t="shared" ref="M19" si="28">L19+K19</f>
        <v>7.8912000000000013</v>
      </c>
      <c r="N19" s="54">
        <f t="shared" ref="N19:N26" si="29">M19*2.56</f>
        <v>20.201472000000003</v>
      </c>
      <c r="O19" s="65">
        <f t="shared" si="2"/>
        <v>7.8912000000000013</v>
      </c>
      <c r="P19" s="1">
        <f t="shared" si="11"/>
        <v>0</v>
      </c>
      <c r="Q19" s="1">
        <f t="shared" si="12"/>
        <v>197.28000000000003</v>
      </c>
      <c r="R19" s="1"/>
      <c r="S19" s="1">
        <f t="shared" si="5"/>
        <v>0</v>
      </c>
      <c r="T19" s="66">
        <f t="shared" si="6"/>
        <v>20.201472000000003</v>
      </c>
      <c r="U19" s="1"/>
      <c r="V19" s="67">
        <f t="shared" si="13"/>
        <v>0</v>
      </c>
    </row>
    <row r="20" spans="1:22">
      <c r="A20" s="23">
        <v>11</v>
      </c>
      <c r="B20" s="48" t="s">
        <v>34</v>
      </c>
      <c r="C20" s="49" t="s">
        <v>33</v>
      </c>
      <c r="D20" s="49" t="s">
        <v>46</v>
      </c>
      <c r="E20" s="35" t="s">
        <v>39</v>
      </c>
      <c r="F20" s="50">
        <v>65.239999999999995</v>
      </c>
      <c r="G20" s="50">
        <v>6.95</v>
      </c>
      <c r="H20" s="51"/>
      <c r="I20" s="52">
        <f t="shared" ref="I20" si="30">(F20*G20)</f>
        <v>453.41799999999995</v>
      </c>
      <c r="J20" s="55">
        <f t="shared" ref="J20" si="31">I20+H20</f>
        <v>453.41799999999995</v>
      </c>
      <c r="K20" s="53"/>
      <c r="L20" s="54">
        <f t="shared" ref="L20:L26" si="32">J20*0.04</f>
        <v>18.136719999999997</v>
      </c>
      <c r="M20" s="54">
        <f t="shared" ref="M20" si="33">L20+K20</f>
        <v>18.136719999999997</v>
      </c>
      <c r="N20" s="54">
        <f t="shared" si="29"/>
        <v>46.430003199999994</v>
      </c>
      <c r="O20" s="65">
        <f t="shared" si="2"/>
        <v>18.136719999999997</v>
      </c>
      <c r="P20" s="1">
        <f t="shared" si="11"/>
        <v>0</v>
      </c>
      <c r="Q20" s="1">
        <f t="shared" si="12"/>
        <v>453.41799999999995</v>
      </c>
      <c r="R20" s="1"/>
      <c r="S20" s="1">
        <f t="shared" si="5"/>
        <v>0</v>
      </c>
      <c r="T20" s="66">
        <f t="shared" si="6"/>
        <v>46.430003199999994</v>
      </c>
      <c r="V20" s="67">
        <f t="shared" si="13"/>
        <v>0</v>
      </c>
    </row>
    <row r="21" spans="1:22">
      <c r="A21" s="23">
        <v>12</v>
      </c>
      <c r="B21" s="48" t="s">
        <v>37</v>
      </c>
      <c r="C21" s="49" t="s">
        <v>47</v>
      </c>
      <c r="D21" s="49" t="s">
        <v>48</v>
      </c>
      <c r="E21" s="35" t="s">
        <v>39</v>
      </c>
      <c r="F21" s="50">
        <v>60.4</v>
      </c>
      <c r="G21" s="50">
        <v>7.3</v>
      </c>
      <c r="H21" s="51"/>
      <c r="I21" s="52">
        <f t="shared" ref="I21" si="34">(F21*G21)</f>
        <v>440.91999999999996</v>
      </c>
      <c r="J21" s="52">
        <f t="shared" ref="J21" si="35">I21+H21</f>
        <v>440.91999999999996</v>
      </c>
      <c r="K21" s="53"/>
      <c r="L21" s="54">
        <f t="shared" si="32"/>
        <v>17.636799999999997</v>
      </c>
      <c r="M21" s="54">
        <f t="shared" ref="M21" si="36">L21+K21</f>
        <v>17.636799999999997</v>
      </c>
      <c r="N21" s="54">
        <f t="shared" si="29"/>
        <v>45.150207999999992</v>
      </c>
      <c r="O21" s="65">
        <f t="shared" si="2"/>
        <v>17.636799999999997</v>
      </c>
      <c r="P21" s="1">
        <f t="shared" si="11"/>
        <v>0</v>
      </c>
      <c r="Q21" s="1">
        <f t="shared" si="12"/>
        <v>440.91999999999996</v>
      </c>
      <c r="R21" s="1"/>
      <c r="S21" s="1">
        <f t="shared" si="5"/>
        <v>0</v>
      </c>
      <c r="T21" s="66">
        <f t="shared" si="6"/>
        <v>45.150207999999992</v>
      </c>
      <c r="V21" s="67">
        <f t="shared" si="13"/>
        <v>0</v>
      </c>
    </row>
    <row r="22" spans="1:22">
      <c r="A22" s="23">
        <v>13</v>
      </c>
      <c r="B22" s="48" t="s">
        <v>36</v>
      </c>
      <c r="C22" s="49" t="s">
        <v>49</v>
      </c>
      <c r="D22" s="49" t="s">
        <v>40</v>
      </c>
      <c r="E22" s="35" t="s">
        <v>39</v>
      </c>
      <c r="F22" s="50">
        <v>60.7</v>
      </c>
      <c r="G22" s="50">
        <v>6.85</v>
      </c>
      <c r="H22" s="51"/>
      <c r="I22" s="52">
        <f t="shared" ref="I22" si="37">(F22*G22)</f>
        <v>415.79500000000002</v>
      </c>
      <c r="J22" s="55">
        <f t="shared" ref="J22" si="38">I22+H22</f>
        <v>415.79500000000002</v>
      </c>
      <c r="K22" s="53"/>
      <c r="L22" s="54">
        <f t="shared" si="32"/>
        <v>16.631800000000002</v>
      </c>
      <c r="M22" s="54">
        <f t="shared" ref="M22" si="39">L22+K22</f>
        <v>16.631800000000002</v>
      </c>
      <c r="N22" s="54">
        <f t="shared" si="29"/>
        <v>42.577408000000005</v>
      </c>
      <c r="O22" s="65">
        <f t="shared" si="2"/>
        <v>16.631800000000002</v>
      </c>
      <c r="P22" s="1">
        <f t="shared" si="11"/>
        <v>0</v>
      </c>
      <c r="Q22" s="1">
        <f t="shared" si="12"/>
        <v>415.79500000000002</v>
      </c>
      <c r="R22" s="1"/>
      <c r="S22" s="1">
        <f t="shared" si="5"/>
        <v>0</v>
      </c>
      <c r="T22" s="66">
        <f t="shared" si="6"/>
        <v>42.577408000000005</v>
      </c>
      <c r="V22" s="67">
        <f t="shared" si="13"/>
        <v>0</v>
      </c>
    </row>
    <row r="23" spans="1:22">
      <c r="A23" s="23">
        <v>14</v>
      </c>
      <c r="B23" s="48" t="s">
        <v>35</v>
      </c>
      <c r="C23" s="49" t="s">
        <v>36</v>
      </c>
      <c r="D23" s="49" t="s">
        <v>34</v>
      </c>
      <c r="E23" s="35" t="s">
        <v>39</v>
      </c>
      <c r="F23" s="50">
        <v>53.75</v>
      </c>
      <c r="G23" s="50">
        <v>7.05</v>
      </c>
      <c r="H23" s="51"/>
      <c r="I23" s="52">
        <f t="shared" ref="I23:I25" si="40">(F23*G23)</f>
        <v>378.9375</v>
      </c>
      <c r="J23" s="55">
        <f t="shared" ref="J23:J25" si="41">I23+H23</f>
        <v>378.9375</v>
      </c>
      <c r="K23" s="53"/>
      <c r="L23" s="54">
        <f t="shared" si="32"/>
        <v>15.157500000000001</v>
      </c>
      <c r="M23" s="54">
        <f t="shared" ref="M23:M25" si="42">L23+K23</f>
        <v>15.157500000000001</v>
      </c>
      <c r="N23" s="54">
        <f t="shared" si="29"/>
        <v>38.803200000000004</v>
      </c>
      <c r="O23" s="65">
        <f t="shared" si="2"/>
        <v>15.157500000000001</v>
      </c>
      <c r="P23" s="1">
        <f t="shared" si="11"/>
        <v>0</v>
      </c>
      <c r="Q23" s="1">
        <f t="shared" si="12"/>
        <v>378.9375</v>
      </c>
      <c r="R23" s="1"/>
      <c r="S23" s="1">
        <f t="shared" si="5"/>
        <v>0</v>
      </c>
      <c r="T23" s="66">
        <f t="shared" si="6"/>
        <v>38.803200000000004</v>
      </c>
      <c r="V23" s="67"/>
    </row>
    <row r="24" spans="1:22">
      <c r="A24" s="23">
        <v>15</v>
      </c>
      <c r="B24" s="48" t="s">
        <v>50</v>
      </c>
      <c r="C24" s="49" t="s">
        <v>34</v>
      </c>
      <c r="D24" s="49" t="s">
        <v>51</v>
      </c>
      <c r="E24" s="35" t="s">
        <v>39</v>
      </c>
      <c r="F24" s="50">
        <v>59.53</v>
      </c>
      <c r="G24" s="50">
        <v>7.6</v>
      </c>
      <c r="H24" s="51"/>
      <c r="I24" s="52">
        <f t="shared" si="40"/>
        <v>452.428</v>
      </c>
      <c r="J24" s="55">
        <f t="shared" si="41"/>
        <v>452.428</v>
      </c>
      <c r="K24" s="53"/>
      <c r="L24" s="54">
        <f t="shared" si="32"/>
        <v>18.09712</v>
      </c>
      <c r="M24" s="54">
        <f t="shared" si="42"/>
        <v>18.09712</v>
      </c>
      <c r="N24" s="54">
        <f t="shared" si="29"/>
        <v>46.3286272</v>
      </c>
      <c r="O24" s="65">
        <f t="shared" si="2"/>
        <v>18.09712</v>
      </c>
      <c r="P24" s="1">
        <f t="shared" si="11"/>
        <v>0</v>
      </c>
      <c r="Q24" s="1">
        <f t="shared" si="12"/>
        <v>452.428</v>
      </c>
      <c r="R24" s="1"/>
      <c r="S24" s="1">
        <f t="shared" si="5"/>
        <v>0</v>
      </c>
      <c r="T24" s="66">
        <f t="shared" si="6"/>
        <v>46.3286272</v>
      </c>
      <c r="V24" s="67">
        <f t="shared" si="13"/>
        <v>0</v>
      </c>
    </row>
    <row r="25" spans="1:22">
      <c r="A25" s="23">
        <v>16</v>
      </c>
      <c r="B25" s="48" t="s">
        <v>33</v>
      </c>
      <c r="C25" s="49" t="s">
        <v>36</v>
      </c>
      <c r="D25" s="49" t="s">
        <v>51</v>
      </c>
      <c r="E25" s="35" t="s">
        <v>39</v>
      </c>
      <c r="F25" s="50">
        <v>119.35</v>
      </c>
      <c r="G25" s="50">
        <v>6.91</v>
      </c>
      <c r="H25" s="51"/>
      <c r="I25" s="52">
        <f t="shared" si="40"/>
        <v>824.70849999999996</v>
      </c>
      <c r="J25" s="55">
        <f t="shared" si="41"/>
        <v>824.70849999999996</v>
      </c>
      <c r="K25" s="53"/>
      <c r="L25" s="54">
        <f t="shared" si="32"/>
        <v>32.988340000000001</v>
      </c>
      <c r="M25" s="54">
        <f t="shared" si="42"/>
        <v>32.988340000000001</v>
      </c>
      <c r="N25" s="54">
        <f t="shared" si="29"/>
        <v>84.450150399999998</v>
      </c>
      <c r="O25" s="65">
        <f t="shared" si="2"/>
        <v>32.988340000000001</v>
      </c>
      <c r="P25" s="1">
        <f t="shared" si="11"/>
        <v>0</v>
      </c>
      <c r="Q25" s="1">
        <f t="shared" si="12"/>
        <v>824.70849999999996</v>
      </c>
      <c r="R25" s="1"/>
      <c r="S25" s="1">
        <f t="shared" si="5"/>
        <v>0</v>
      </c>
      <c r="T25" s="66">
        <f t="shared" si="6"/>
        <v>84.450150399999998</v>
      </c>
      <c r="V25" s="67">
        <f t="shared" si="13"/>
        <v>0</v>
      </c>
    </row>
    <row r="26" spans="1:22">
      <c r="A26" s="23">
        <v>17</v>
      </c>
      <c r="B26" s="48" t="s">
        <v>40</v>
      </c>
      <c r="C26" s="49" t="s">
        <v>36</v>
      </c>
      <c r="D26" s="49" t="s">
        <v>52</v>
      </c>
      <c r="E26" s="35" t="s">
        <v>39</v>
      </c>
      <c r="F26" s="50">
        <v>124.81</v>
      </c>
      <c r="G26" s="50">
        <v>6.9</v>
      </c>
      <c r="H26" s="51"/>
      <c r="I26" s="52">
        <f t="shared" ref="I26" si="43">(F26*G26)</f>
        <v>861.18900000000008</v>
      </c>
      <c r="J26" s="52">
        <f t="shared" ref="J26" si="44">I26+H26</f>
        <v>861.18900000000008</v>
      </c>
      <c r="K26" s="53"/>
      <c r="L26" s="54">
        <f t="shared" si="32"/>
        <v>34.447560000000003</v>
      </c>
      <c r="M26" s="54">
        <f t="shared" ref="M26" si="45">L26+K26</f>
        <v>34.447560000000003</v>
      </c>
      <c r="N26" s="54">
        <f t="shared" si="29"/>
        <v>88.185753600000012</v>
      </c>
      <c r="O26" s="65">
        <f t="shared" si="2"/>
        <v>34.447560000000003</v>
      </c>
      <c r="P26" s="1">
        <f t="shared" si="11"/>
        <v>0</v>
      </c>
      <c r="Q26" s="1">
        <f t="shared" si="12"/>
        <v>861.18900000000008</v>
      </c>
      <c r="R26" s="1"/>
      <c r="S26" s="1">
        <f t="shared" si="5"/>
        <v>0</v>
      </c>
      <c r="T26" s="66">
        <f t="shared" si="6"/>
        <v>88.185753600000012</v>
      </c>
      <c r="V26" s="67">
        <f t="shared" si="13"/>
        <v>0</v>
      </c>
    </row>
    <row r="27" spans="1:22">
      <c r="A27" s="22"/>
      <c r="B27" s="109"/>
      <c r="C27" s="110"/>
      <c r="D27" s="110"/>
      <c r="E27" s="110"/>
      <c r="F27" s="110"/>
      <c r="G27" s="110"/>
      <c r="H27" s="110"/>
      <c r="I27" s="110"/>
      <c r="J27" s="110"/>
      <c r="K27" s="111"/>
      <c r="L27" s="45" t="s">
        <v>18</v>
      </c>
      <c r="M27" s="46">
        <f>SUM(M19:M26)</f>
        <v>160.98704000000001</v>
      </c>
      <c r="N27" s="47">
        <f>SUM(N19:N26)</f>
        <v>412.12682239999998</v>
      </c>
      <c r="O27" s="65"/>
      <c r="P27" s="1"/>
      <c r="Q27" s="1"/>
      <c r="R27" s="1"/>
      <c r="S27" s="1"/>
      <c r="T27" s="66"/>
      <c r="V27" s="67"/>
    </row>
    <row r="28" spans="1:22">
      <c r="A28" s="22"/>
      <c r="B28" s="106" t="s">
        <v>44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  <c r="O28" s="65">
        <f t="shared" si="2"/>
        <v>0</v>
      </c>
      <c r="P28" s="1">
        <f t="shared" si="11"/>
        <v>0</v>
      </c>
      <c r="Q28" s="1">
        <f t="shared" si="12"/>
        <v>0</v>
      </c>
      <c r="R28" s="1"/>
      <c r="S28" s="1">
        <f t="shared" si="5"/>
        <v>0</v>
      </c>
      <c r="T28" s="66">
        <f t="shared" si="6"/>
        <v>0</v>
      </c>
      <c r="V28" s="67">
        <f t="shared" si="13"/>
        <v>0</v>
      </c>
    </row>
    <row r="29" spans="1:22">
      <c r="A29" s="23">
        <v>18</v>
      </c>
      <c r="B29" s="48" t="s">
        <v>71</v>
      </c>
      <c r="C29" s="49" t="s">
        <v>82</v>
      </c>
      <c r="D29" s="49" t="s">
        <v>83</v>
      </c>
      <c r="E29" s="35" t="s">
        <v>16</v>
      </c>
      <c r="F29" s="50">
        <v>21</v>
      </c>
      <c r="G29" s="50">
        <v>11.3</v>
      </c>
      <c r="H29" s="51"/>
      <c r="I29" s="52">
        <f t="shared" ref="I29:I31" si="46">(F29*G29)</f>
        <v>237.3</v>
      </c>
      <c r="J29" s="52">
        <f t="shared" ref="J29:J32" si="47">I29+H29</f>
        <v>237.3</v>
      </c>
      <c r="K29" s="53">
        <f t="shared" ref="K29:K32" si="48">J29*0.03</f>
        <v>7.1189999999999998</v>
      </c>
      <c r="L29" s="54">
        <f>J29*0.04</f>
        <v>9.4920000000000009</v>
      </c>
      <c r="M29" s="54">
        <f t="shared" ref="M29:M35" si="49">L29+K29</f>
        <v>16.611000000000001</v>
      </c>
      <c r="N29" s="54">
        <f t="shared" ref="N29:N32" si="50">M29*2.56</f>
        <v>42.524160000000002</v>
      </c>
      <c r="O29" s="65">
        <f t="shared" si="2"/>
        <v>16.611000000000001</v>
      </c>
      <c r="P29" s="1">
        <f t="shared" si="11"/>
        <v>237.3</v>
      </c>
      <c r="Q29" s="1">
        <f t="shared" si="12"/>
        <v>0</v>
      </c>
      <c r="R29" s="1"/>
      <c r="S29" s="1">
        <f t="shared" si="5"/>
        <v>42.524160000000002</v>
      </c>
      <c r="T29" s="66">
        <f t="shared" si="6"/>
        <v>0</v>
      </c>
      <c r="V29" s="67">
        <f t="shared" si="13"/>
        <v>0</v>
      </c>
    </row>
    <row r="30" spans="1:22">
      <c r="A30" s="23">
        <v>19</v>
      </c>
      <c r="B30" s="48" t="s">
        <v>42</v>
      </c>
      <c r="C30" s="49" t="s">
        <v>53</v>
      </c>
      <c r="D30" s="49" t="s">
        <v>56</v>
      </c>
      <c r="E30" s="35" t="s">
        <v>16</v>
      </c>
      <c r="F30" s="50">
        <v>210.93</v>
      </c>
      <c r="G30" s="50">
        <v>9</v>
      </c>
      <c r="H30" s="51"/>
      <c r="I30" s="52">
        <f t="shared" si="46"/>
        <v>1898.3700000000001</v>
      </c>
      <c r="J30" s="52">
        <f t="shared" si="47"/>
        <v>1898.3700000000001</v>
      </c>
      <c r="K30" s="53">
        <f t="shared" si="48"/>
        <v>56.951100000000004</v>
      </c>
      <c r="L30" s="54">
        <f>J30*0.04</f>
        <v>75.93480000000001</v>
      </c>
      <c r="M30" s="54">
        <f t="shared" si="49"/>
        <v>132.88590000000002</v>
      </c>
      <c r="N30" s="54">
        <f t="shared" si="50"/>
        <v>340.18790400000006</v>
      </c>
      <c r="O30" s="65">
        <f t="shared" si="2"/>
        <v>132.88590000000002</v>
      </c>
      <c r="P30" s="1">
        <f t="shared" si="11"/>
        <v>1898.3700000000001</v>
      </c>
      <c r="Q30" s="1">
        <f t="shared" si="12"/>
        <v>0</v>
      </c>
      <c r="R30" s="1"/>
      <c r="S30" s="1">
        <f t="shared" si="5"/>
        <v>340.18790400000006</v>
      </c>
      <c r="T30" s="66">
        <f t="shared" si="6"/>
        <v>0</v>
      </c>
      <c r="V30" s="67">
        <f t="shared" si="13"/>
        <v>0</v>
      </c>
    </row>
    <row r="31" spans="1:22">
      <c r="A31" s="23">
        <v>20</v>
      </c>
      <c r="B31" s="48" t="s">
        <v>43</v>
      </c>
      <c r="C31" s="49" t="s">
        <v>17</v>
      </c>
      <c r="D31" s="49" t="s">
        <v>42</v>
      </c>
      <c r="E31" s="35" t="s">
        <v>16</v>
      </c>
      <c r="F31" s="50">
        <v>87.22</v>
      </c>
      <c r="G31" s="50">
        <v>8.4499999999999993</v>
      </c>
      <c r="H31" s="51"/>
      <c r="I31" s="55">
        <f t="shared" si="46"/>
        <v>737.0089999999999</v>
      </c>
      <c r="J31" s="52">
        <f t="shared" si="47"/>
        <v>737.0089999999999</v>
      </c>
      <c r="K31" s="53">
        <f t="shared" si="48"/>
        <v>22.110269999999996</v>
      </c>
      <c r="L31" s="54">
        <f>J31*0.04</f>
        <v>29.480359999999997</v>
      </c>
      <c r="M31" s="54">
        <f t="shared" si="49"/>
        <v>51.59062999999999</v>
      </c>
      <c r="N31" s="54">
        <f t="shared" si="50"/>
        <v>132.07201279999998</v>
      </c>
      <c r="O31" s="65">
        <f t="shared" si="2"/>
        <v>51.59062999999999</v>
      </c>
      <c r="P31" s="1">
        <f t="shared" si="11"/>
        <v>737.0089999999999</v>
      </c>
      <c r="Q31" s="1">
        <f t="shared" si="12"/>
        <v>0</v>
      </c>
      <c r="R31" s="1"/>
      <c r="S31" s="1">
        <f t="shared" si="5"/>
        <v>132.07201279999998</v>
      </c>
      <c r="T31" s="66">
        <f t="shared" si="6"/>
        <v>0</v>
      </c>
      <c r="V31" s="67">
        <f t="shared" si="13"/>
        <v>0</v>
      </c>
    </row>
    <row r="32" spans="1:22">
      <c r="A32" s="23">
        <v>21</v>
      </c>
      <c r="B32" s="48" t="s">
        <v>30</v>
      </c>
      <c r="C32" s="49" t="s">
        <v>82</v>
      </c>
      <c r="D32" s="49" t="s">
        <v>84</v>
      </c>
      <c r="E32" s="35" t="s">
        <v>16</v>
      </c>
      <c r="F32" s="50">
        <v>112</v>
      </c>
      <c r="G32" s="59" t="s">
        <v>85</v>
      </c>
      <c r="H32" s="51"/>
      <c r="I32" s="55">
        <v>1137.5</v>
      </c>
      <c r="J32" s="52">
        <f t="shared" si="47"/>
        <v>1137.5</v>
      </c>
      <c r="K32" s="53">
        <f t="shared" si="48"/>
        <v>34.125</v>
      </c>
      <c r="L32" s="54">
        <f>J32*0.04</f>
        <v>45.5</v>
      </c>
      <c r="M32" s="54">
        <f t="shared" si="49"/>
        <v>79.625</v>
      </c>
      <c r="N32" s="54">
        <f t="shared" si="50"/>
        <v>203.84</v>
      </c>
      <c r="O32" s="65">
        <f t="shared" si="2"/>
        <v>79.625</v>
      </c>
      <c r="P32" s="1">
        <f t="shared" si="11"/>
        <v>1137.5</v>
      </c>
      <c r="Q32" s="1">
        <f t="shared" si="12"/>
        <v>0</v>
      </c>
      <c r="R32" s="1"/>
      <c r="S32" s="1">
        <f t="shared" si="5"/>
        <v>203.84</v>
      </c>
      <c r="T32" s="66">
        <f t="shared" si="6"/>
        <v>0</v>
      </c>
      <c r="V32" s="67"/>
    </row>
    <row r="33" spans="1:22">
      <c r="A33" s="23">
        <v>22</v>
      </c>
      <c r="B33" s="48" t="s">
        <v>84</v>
      </c>
      <c r="C33" s="49" t="s">
        <v>30</v>
      </c>
      <c r="D33" s="49" t="s">
        <v>103</v>
      </c>
      <c r="E33" s="35" t="s">
        <v>16</v>
      </c>
      <c r="F33" s="50">
        <v>76.5</v>
      </c>
      <c r="G33" s="59">
        <v>10.9</v>
      </c>
      <c r="H33" s="51">
        <v>386</v>
      </c>
      <c r="I33" s="55">
        <f>G33*F33</f>
        <v>833.85</v>
      </c>
      <c r="J33" s="52">
        <f t="shared" ref="J33" si="51">I33+H33</f>
        <v>1219.8499999999999</v>
      </c>
      <c r="K33" s="53">
        <f t="shared" ref="K33:K35" si="52">J33*0.03</f>
        <v>36.595499999999994</v>
      </c>
      <c r="L33" s="54">
        <f>J33*0.04</f>
        <v>48.793999999999997</v>
      </c>
      <c r="M33" s="54">
        <f t="shared" ref="M33" si="53">L33+K33</f>
        <v>85.389499999999998</v>
      </c>
      <c r="N33" s="54">
        <f t="shared" ref="N33" si="54">M33*2.56</f>
        <v>218.59711999999999</v>
      </c>
      <c r="O33" s="65">
        <f t="shared" si="2"/>
        <v>85.389499999999998</v>
      </c>
      <c r="P33" s="1">
        <f t="shared" si="11"/>
        <v>1219.8499999999999</v>
      </c>
      <c r="Q33" s="1">
        <f t="shared" si="12"/>
        <v>0</v>
      </c>
      <c r="R33" s="1"/>
      <c r="S33" s="1">
        <f t="shared" si="5"/>
        <v>218.59711999999999</v>
      </c>
      <c r="T33" s="66">
        <f t="shared" si="6"/>
        <v>0</v>
      </c>
      <c r="V33" s="67">
        <f t="shared" si="13"/>
        <v>0</v>
      </c>
    </row>
    <row r="34" spans="1:22">
      <c r="A34" s="23" t="s">
        <v>108</v>
      </c>
      <c r="B34" s="48" t="s">
        <v>109</v>
      </c>
      <c r="C34" s="49" t="s">
        <v>110</v>
      </c>
      <c r="D34" s="49"/>
      <c r="E34" s="35" t="s">
        <v>16</v>
      </c>
      <c r="F34" s="50">
        <v>10.6</v>
      </c>
      <c r="G34" s="59">
        <v>3.7</v>
      </c>
      <c r="H34" s="51"/>
      <c r="I34" s="55"/>
      <c r="J34" s="52">
        <f>39.22</f>
        <v>39.22</v>
      </c>
      <c r="K34" s="53"/>
      <c r="L34" s="54">
        <f>1.96</f>
        <v>1.96</v>
      </c>
      <c r="M34" s="54">
        <f t="shared" si="49"/>
        <v>1.96</v>
      </c>
      <c r="N34" s="54">
        <f>M34*2.56</f>
        <v>5.0175999999999998</v>
      </c>
      <c r="O34" s="65">
        <f t="shared" si="2"/>
        <v>1.96</v>
      </c>
      <c r="P34" s="1">
        <f t="shared" si="11"/>
        <v>39.22</v>
      </c>
      <c r="Q34" s="1">
        <f t="shared" si="12"/>
        <v>0</v>
      </c>
      <c r="R34" s="1"/>
      <c r="S34" s="1">
        <f t="shared" si="5"/>
        <v>5.0175999999999998</v>
      </c>
      <c r="T34" s="66">
        <f t="shared" si="6"/>
        <v>0</v>
      </c>
      <c r="V34" s="67">
        <f t="shared" si="13"/>
        <v>0</v>
      </c>
    </row>
    <row r="35" spans="1:22">
      <c r="A35" s="23">
        <v>23</v>
      </c>
      <c r="B35" s="104" t="s">
        <v>129</v>
      </c>
      <c r="C35" s="49" t="s">
        <v>130</v>
      </c>
      <c r="D35" s="49" t="s">
        <v>131</v>
      </c>
      <c r="E35" s="35" t="s">
        <v>16</v>
      </c>
      <c r="F35" s="50"/>
      <c r="G35" s="59"/>
      <c r="H35" s="51"/>
      <c r="I35" s="55"/>
      <c r="J35" s="52">
        <v>512.02</v>
      </c>
      <c r="K35" s="53">
        <f t="shared" si="52"/>
        <v>15.360599999999998</v>
      </c>
      <c r="L35" s="54">
        <f>J35*0.04</f>
        <v>20.480799999999999</v>
      </c>
      <c r="M35" s="54">
        <f t="shared" si="49"/>
        <v>35.841399999999993</v>
      </c>
      <c r="N35" s="54">
        <f t="shared" ref="N35" si="55">M35*2.56</f>
        <v>91.753983999999988</v>
      </c>
      <c r="O35" s="65">
        <f t="shared" ref="O35" si="56">M35</f>
        <v>35.841399999999993</v>
      </c>
      <c r="P35" s="1">
        <f t="shared" ref="P35" si="57">IF(E35="R",J35,0)</f>
        <v>512.02</v>
      </c>
      <c r="Q35" s="1">
        <f t="shared" ref="Q35" si="58">IF(E35="N",J35,0)</f>
        <v>0</v>
      </c>
      <c r="R35" s="1"/>
      <c r="S35" s="1">
        <f t="shared" ref="S35" si="59">IF(E35="R",N35,0)</f>
        <v>91.753983999999988</v>
      </c>
      <c r="T35" s="66">
        <f t="shared" ref="T35" si="60">IF(E35="N",N35,0)</f>
        <v>0</v>
      </c>
      <c r="V35" s="67">
        <f t="shared" ref="V35" si="61">S35+T35-N35</f>
        <v>0</v>
      </c>
    </row>
    <row r="36" spans="1:22">
      <c r="A36" s="22"/>
      <c r="B36" s="109"/>
      <c r="C36" s="110"/>
      <c r="D36" s="110"/>
      <c r="E36" s="110"/>
      <c r="F36" s="110"/>
      <c r="G36" s="110"/>
      <c r="H36" s="110"/>
      <c r="I36" s="110"/>
      <c r="J36" s="110"/>
      <c r="K36" s="111"/>
      <c r="L36" s="45" t="s">
        <v>18</v>
      </c>
      <c r="M36" s="46">
        <f>SUM(M29:M35)</f>
        <v>403.90342999999996</v>
      </c>
      <c r="N36" s="47">
        <f>SUM(N29:N35)</f>
        <v>1033.9927808000002</v>
      </c>
      <c r="O36" s="65"/>
      <c r="P36" s="1"/>
      <c r="Q36" s="1"/>
      <c r="R36" s="1"/>
      <c r="S36" s="1"/>
      <c r="T36" s="66"/>
      <c r="V36" s="67"/>
    </row>
    <row r="37" spans="1:22">
      <c r="A37" s="22"/>
      <c r="B37" s="106" t="s">
        <v>86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65">
        <f t="shared" si="2"/>
        <v>0</v>
      </c>
      <c r="P37" s="1">
        <f t="shared" si="11"/>
        <v>0</v>
      </c>
      <c r="Q37" s="1">
        <f t="shared" si="12"/>
        <v>0</v>
      </c>
      <c r="R37" s="1"/>
      <c r="S37" s="1">
        <f t="shared" si="5"/>
        <v>0</v>
      </c>
      <c r="T37" s="66">
        <f t="shared" si="6"/>
        <v>0</v>
      </c>
      <c r="V37" s="67">
        <f t="shared" si="13"/>
        <v>0</v>
      </c>
    </row>
    <row r="38" spans="1:22">
      <c r="A38" s="23">
        <v>24</v>
      </c>
      <c r="B38" s="48" t="s">
        <v>87</v>
      </c>
      <c r="C38" s="49" t="s">
        <v>71</v>
      </c>
      <c r="D38" s="49" t="s">
        <v>88</v>
      </c>
      <c r="E38" s="35" t="s">
        <v>16</v>
      </c>
      <c r="F38" s="50">
        <v>5.5</v>
      </c>
      <c r="G38" s="59">
        <v>46</v>
      </c>
      <c r="H38" s="51">
        <v>27.16</v>
      </c>
      <c r="I38" s="55">
        <f>G38*F38</f>
        <v>253</v>
      </c>
      <c r="J38" s="52">
        <f t="shared" ref="J38" si="62">I38+H38</f>
        <v>280.16000000000003</v>
      </c>
      <c r="K38" s="53">
        <f t="shared" ref="K38" si="63">J38*0.03</f>
        <v>8.4047999999999998</v>
      </c>
      <c r="L38" s="54">
        <f>J38*0.04</f>
        <v>11.2064</v>
      </c>
      <c r="M38" s="54">
        <f t="shared" ref="M38" si="64">L38+K38</f>
        <v>19.6112</v>
      </c>
      <c r="N38" s="54">
        <f t="shared" ref="N38" si="65">M38*2.56</f>
        <v>50.204672000000002</v>
      </c>
      <c r="O38" s="65">
        <f t="shared" si="2"/>
        <v>19.6112</v>
      </c>
      <c r="P38" s="1">
        <f t="shared" si="11"/>
        <v>280.16000000000003</v>
      </c>
      <c r="Q38" s="1">
        <f t="shared" si="12"/>
        <v>0</v>
      </c>
      <c r="R38" s="1"/>
      <c r="S38" s="1">
        <f t="shared" si="5"/>
        <v>50.204672000000002</v>
      </c>
      <c r="T38" s="66">
        <f t="shared" si="6"/>
        <v>0</v>
      </c>
      <c r="V38" s="67">
        <f t="shared" si="13"/>
        <v>0</v>
      </c>
    </row>
    <row r="39" spans="1:22">
      <c r="A39" s="22"/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45" t="s">
        <v>18</v>
      </c>
      <c r="M39" s="46">
        <f>SUM(M38:M38)</f>
        <v>19.6112</v>
      </c>
      <c r="N39" s="56">
        <f>SUM(N38:N38)</f>
        <v>50.204672000000002</v>
      </c>
      <c r="O39" s="65"/>
      <c r="P39" s="1"/>
      <c r="Q39" s="1"/>
      <c r="R39" s="1"/>
      <c r="S39" s="1"/>
      <c r="T39" s="66"/>
      <c r="V39" s="67"/>
    </row>
    <row r="40" spans="1:22">
      <c r="A40" s="22"/>
      <c r="B40" s="106" t="s">
        <v>96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65">
        <f t="shared" si="2"/>
        <v>0</v>
      </c>
      <c r="P40" s="1">
        <f t="shared" si="11"/>
        <v>0</v>
      </c>
      <c r="Q40" s="1">
        <f t="shared" si="12"/>
        <v>0</v>
      </c>
      <c r="R40" s="1"/>
      <c r="S40" s="1">
        <f t="shared" si="5"/>
        <v>0</v>
      </c>
      <c r="T40" s="66">
        <f t="shared" si="6"/>
        <v>0</v>
      </c>
      <c r="V40" s="67">
        <f t="shared" si="13"/>
        <v>0</v>
      </c>
    </row>
    <row r="41" spans="1:22">
      <c r="A41" s="23">
        <v>25</v>
      </c>
      <c r="B41" s="48" t="s">
        <v>99</v>
      </c>
      <c r="C41" s="49" t="s">
        <v>100</v>
      </c>
      <c r="D41" s="49" t="s">
        <v>102</v>
      </c>
      <c r="E41" s="35" t="s">
        <v>39</v>
      </c>
      <c r="F41" s="50">
        <v>415.94</v>
      </c>
      <c r="G41" s="50">
        <v>2.4</v>
      </c>
      <c r="H41" s="51"/>
      <c r="I41" s="52">
        <f>F41*G41</f>
        <v>998.25599999999997</v>
      </c>
      <c r="J41" s="52">
        <f>I41+H41</f>
        <v>998.25599999999997</v>
      </c>
      <c r="K41" s="53">
        <f>J41*0.03</f>
        <v>29.947679999999998</v>
      </c>
      <c r="L41" s="54">
        <f>J41*0.04</f>
        <v>39.930239999999998</v>
      </c>
      <c r="M41" s="54">
        <f>L41+K41</f>
        <v>69.877919999999989</v>
      </c>
      <c r="N41" s="54">
        <f>M41*2.56</f>
        <v>178.88747519999998</v>
      </c>
      <c r="O41" s="65">
        <f t="shared" si="2"/>
        <v>69.877919999999989</v>
      </c>
      <c r="P41" s="1">
        <f t="shared" si="11"/>
        <v>0</v>
      </c>
      <c r="Q41" s="1">
        <f t="shared" si="12"/>
        <v>998.25599999999997</v>
      </c>
      <c r="R41" s="1"/>
      <c r="S41" s="1">
        <f t="shared" si="5"/>
        <v>0</v>
      </c>
      <c r="T41" s="66">
        <f t="shared" si="6"/>
        <v>178.88747519999998</v>
      </c>
      <c r="V41" s="67">
        <f t="shared" si="13"/>
        <v>0</v>
      </c>
    </row>
    <row r="42" spans="1:22">
      <c r="A42" s="23" t="s">
        <v>132</v>
      </c>
      <c r="B42" s="48" t="s">
        <v>99</v>
      </c>
      <c r="C42" s="49" t="s">
        <v>102</v>
      </c>
      <c r="D42" s="49" t="s">
        <v>101</v>
      </c>
      <c r="E42" s="35" t="s">
        <v>39</v>
      </c>
      <c r="F42" s="50">
        <v>382.19</v>
      </c>
      <c r="G42" s="50">
        <v>2.4</v>
      </c>
      <c r="H42" s="51"/>
      <c r="I42" s="52">
        <f>F42*G42</f>
        <v>917.25599999999997</v>
      </c>
      <c r="J42" s="52">
        <f>I42+H42</f>
        <v>917.25599999999997</v>
      </c>
      <c r="K42" s="53">
        <f>J42*0.03</f>
        <v>27.517679999999999</v>
      </c>
      <c r="L42" s="54">
        <f>J42*0.04</f>
        <v>36.690240000000003</v>
      </c>
      <c r="M42" s="54">
        <f>L42+K42</f>
        <v>64.207920000000001</v>
      </c>
      <c r="N42" s="54">
        <f>M42*2.56</f>
        <v>164.37227520000002</v>
      </c>
      <c r="O42" s="65">
        <f t="shared" si="2"/>
        <v>64.207920000000001</v>
      </c>
      <c r="P42" s="1">
        <f t="shared" si="11"/>
        <v>0</v>
      </c>
      <c r="Q42" s="1">
        <f t="shared" si="12"/>
        <v>917.25599999999997</v>
      </c>
      <c r="R42" s="1"/>
      <c r="S42" s="1">
        <f t="shared" si="5"/>
        <v>0</v>
      </c>
      <c r="T42" s="66">
        <f t="shared" si="6"/>
        <v>164.37227520000002</v>
      </c>
      <c r="V42" s="67">
        <f t="shared" si="13"/>
        <v>0</v>
      </c>
    </row>
    <row r="43" spans="1:22">
      <c r="A43" s="22"/>
      <c r="B43" s="109"/>
      <c r="C43" s="110"/>
      <c r="D43" s="110"/>
      <c r="E43" s="110"/>
      <c r="F43" s="110"/>
      <c r="G43" s="110"/>
      <c r="H43" s="110"/>
      <c r="I43" s="110"/>
      <c r="J43" s="110"/>
      <c r="K43" s="111"/>
      <c r="L43" s="45" t="s">
        <v>18</v>
      </c>
      <c r="M43" s="46">
        <f>SUM(M41:M42)</f>
        <v>134.08583999999999</v>
      </c>
      <c r="N43" s="56">
        <f>SUM(N41:N42)</f>
        <v>343.25975040000003</v>
      </c>
      <c r="O43" s="65"/>
      <c r="P43" s="1"/>
      <c r="Q43" s="1"/>
      <c r="R43" s="1"/>
      <c r="S43" s="1"/>
      <c r="T43" s="66"/>
      <c r="V43" s="67"/>
    </row>
    <row r="44" spans="1:22">
      <c r="A44" s="22"/>
      <c r="B44" s="106" t="s">
        <v>68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65">
        <f t="shared" si="2"/>
        <v>0</v>
      </c>
      <c r="P44" s="1">
        <f t="shared" si="11"/>
        <v>0</v>
      </c>
      <c r="Q44" s="1">
        <f t="shared" si="12"/>
        <v>0</v>
      </c>
      <c r="R44" s="1"/>
      <c r="S44" s="1">
        <f t="shared" si="5"/>
        <v>0</v>
      </c>
      <c r="T44" s="66">
        <f t="shared" si="6"/>
        <v>0</v>
      </c>
      <c r="V44" s="67">
        <f t="shared" si="13"/>
        <v>0</v>
      </c>
    </row>
    <row r="45" spans="1:22">
      <c r="A45" s="23">
        <v>26</v>
      </c>
      <c r="B45" s="48" t="s">
        <v>69</v>
      </c>
      <c r="C45" s="49" t="s">
        <v>47</v>
      </c>
      <c r="D45" s="49" t="s">
        <v>72</v>
      </c>
      <c r="E45" s="35" t="s">
        <v>39</v>
      </c>
      <c r="F45" s="50">
        <v>87.7</v>
      </c>
      <c r="G45" s="50">
        <v>5.5</v>
      </c>
      <c r="H45" s="51"/>
      <c r="I45" s="52">
        <f>F45*G45</f>
        <v>482.35</v>
      </c>
      <c r="J45" s="52">
        <f>I45+H45</f>
        <v>482.35</v>
      </c>
      <c r="K45" s="53">
        <f>J45*0.03</f>
        <v>14.470499999999999</v>
      </c>
      <c r="L45" s="54">
        <f>J45*0.04</f>
        <v>19.294</v>
      </c>
      <c r="M45" s="54">
        <f>L45+K45</f>
        <v>33.764499999999998</v>
      </c>
      <c r="N45" s="54">
        <f>M45*2.56</f>
        <v>86.437119999999993</v>
      </c>
      <c r="O45" s="65">
        <f t="shared" si="2"/>
        <v>33.764499999999998</v>
      </c>
      <c r="P45" s="1">
        <f t="shared" si="11"/>
        <v>0</v>
      </c>
      <c r="Q45" s="1">
        <f t="shared" si="12"/>
        <v>482.35</v>
      </c>
      <c r="R45" s="1"/>
      <c r="S45" s="1">
        <f t="shared" si="5"/>
        <v>0</v>
      </c>
      <c r="T45" s="66">
        <f t="shared" si="6"/>
        <v>86.437119999999993</v>
      </c>
      <c r="V45" s="67">
        <f t="shared" si="13"/>
        <v>0</v>
      </c>
    </row>
    <row r="46" spans="1:22">
      <c r="A46" s="23">
        <v>27</v>
      </c>
      <c r="B46" s="48" t="s">
        <v>70</v>
      </c>
      <c r="C46" s="49" t="s">
        <v>71</v>
      </c>
      <c r="D46" s="49" t="s">
        <v>69</v>
      </c>
      <c r="E46" s="35" t="s">
        <v>39</v>
      </c>
      <c r="F46" s="50">
        <v>54</v>
      </c>
      <c r="G46" s="50">
        <v>5</v>
      </c>
      <c r="H46" s="51">
        <v>123.5</v>
      </c>
      <c r="I46" s="52">
        <f>F46*G46</f>
        <v>270</v>
      </c>
      <c r="J46" s="52">
        <f>I46+H46</f>
        <v>393.5</v>
      </c>
      <c r="K46" s="53">
        <f>J46*0.03</f>
        <v>11.805</v>
      </c>
      <c r="L46" s="54">
        <f>J46*0.04</f>
        <v>15.74</v>
      </c>
      <c r="M46" s="54">
        <f>L46+K46</f>
        <v>27.545000000000002</v>
      </c>
      <c r="N46" s="54">
        <f>M46*2.56</f>
        <v>70.515200000000007</v>
      </c>
      <c r="O46" s="65">
        <f t="shared" si="2"/>
        <v>27.545000000000002</v>
      </c>
      <c r="P46" s="1">
        <f t="shared" si="11"/>
        <v>0</v>
      </c>
      <c r="Q46" s="1">
        <f t="shared" si="12"/>
        <v>393.5</v>
      </c>
      <c r="R46" s="1"/>
      <c r="S46" s="1">
        <f t="shared" si="5"/>
        <v>0</v>
      </c>
      <c r="T46" s="66">
        <f t="shared" si="6"/>
        <v>70.515200000000007</v>
      </c>
      <c r="V46" s="67">
        <f t="shared" si="13"/>
        <v>0</v>
      </c>
    </row>
    <row r="47" spans="1:22">
      <c r="A47" s="22"/>
      <c r="B47" s="109"/>
      <c r="C47" s="110"/>
      <c r="D47" s="110"/>
      <c r="E47" s="110"/>
      <c r="F47" s="110"/>
      <c r="G47" s="110"/>
      <c r="H47" s="110"/>
      <c r="I47" s="110"/>
      <c r="J47" s="110"/>
      <c r="K47" s="111"/>
      <c r="L47" s="45" t="s">
        <v>18</v>
      </c>
      <c r="M47" s="46">
        <f>SUM(M45:M46)</f>
        <v>61.3095</v>
      </c>
      <c r="N47" s="56">
        <f>SUM(N45:N46)</f>
        <v>156.95231999999999</v>
      </c>
      <c r="O47" s="65"/>
      <c r="P47" s="1"/>
      <c r="Q47" s="1"/>
      <c r="R47" s="1"/>
      <c r="S47" s="1"/>
      <c r="T47" s="66"/>
      <c r="V47" s="67"/>
    </row>
    <row r="48" spans="1:22">
      <c r="A48" s="22"/>
      <c r="B48" s="106" t="s">
        <v>90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65">
        <f t="shared" si="2"/>
        <v>0</v>
      </c>
      <c r="P48" s="1">
        <f t="shared" si="11"/>
        <v>0</v>
      </c>
      <c r="Q48" s="1">
        <f t="shared" si="12"/>
        <v>0</v>
      </c>
      <c r="R48" s="1"/>
      <c r="S48" s="1">
        <f t="shared" si="5"/>
        <v>0</v>
      </c>
      <c r="T48" s="66">
        <f t="shared" si="6"/>
        <v>0</v>
      </c>
      <c r="V48" s="67">
        <f t="shared" si="13"/>
        <v>0</v>
      </c>
    </row>
    <row r="49" spans="1:22">
      <c r="A49" s="79">
        <v>28</v>
      </c>
      <c r="B49" s="80" t="s">
        <v>71</v>
      </c>
      <c r="C49" s="81" t="s">
        <v>106</v>
      </c>
      <c r="D49" s="81"/>
      <c r="E49" s="82" t="s">
        <v>16</v>
      </c>
      <c r="F49" s="83"/>
      <c r="G49" s="83"/>
      <c r="H49" s="84"/>
      <c r="I49" s="85">
        <f>4941.16+450</f>
        <v>5391.16</v>
      </c>
      <c r="J49" s="85">
        <f>I49+H49</f>
        <v>5391.16</v>
      </c>
      <c r="K49" s="86">
        <f>J49*0.03</f>
        <v>161.73479999999998</v>
      </c>
      <c r="L49" s="87">
        <f>J49*0.04</f>
        <v>215.6464</v>
      </c>
      <c r="M49" s="87">
        <f>L49+K49</f>
        <v>377.38119999999998</v>
      </c>
      <c r="N49" s="87">
        <f>M49*2.56</f>
        <v>966.09587199999999</v>
      </c>
      <c r="O49" s="65">
        <f t="shared" si="2"/>
        <v>377.38119999999998</v>
      </c>
      <c r="P49" s="1">
        <f t="shared" si="11"/>
        <v>5391.16</v>
      </c>
      <c r="Q49" s="1">
        <f t="shared" si="12"/>
        <v>0</v>
      </c>
      <c r="R49" s="1"/>
      <c r="S49" s="1">
        <f t="shared" si="5"/>
        <v>966.09587199999999</v>
      </c>
      <c r="T49" s="66">
        <f t="shared" si="6"/>
        <v>0</v>
      </c>
      <c r="V49" s="67">
        <f t="shared" si="13"/>
        <v>0</v>
      </c>
    </row>
    <row r="50" spans="1:22">
      <c r="A50" s="79">
        <v>29</v>
      </c>
      <c r="B50" s="80" t="s">
        <v>71</v>
      </c>
      <c r="C50" s="105" t="s">
        <v>133</v>
      </c>
      <c r="D50" s="105"/>
      <c r="E50" s="82" t="s">
        <v>16</v>
      </c>
      <c r="F50" s="83"/>
      <c r="G50" s="83"/>
      <c r="H50" s="84"/>
      <c r="I50" s="85">
        <v>624.875</v>
      </c>
      <c r="J50" s="85">
        <f>I50+H50</f>
        <v>624.875</v>
      </c>
      <c r="K50" s="86">
        <f>J50*0.03</f>
        <v>18.74625</v>
      </c>
      <c r="L50" s="87">
        <f>J50*0.04</f>
        <v>24.995000000000001</v>
      </c>
      <c r="M50" s="87">
        <f>L50+K50</f>
        <v>43.741250000000001</v>
      </c>
      <c r="N50" s="87">
        <f>M50*2.56</f>
        <v>111.97760000000001</v>
      </c>
      <c r="O50" s="65">
        <f t="shared" ref="O50" si="66">M50</f>
        <v>43.741250000000001</v>
      </c>
      <c r="P50" s="1">
        <f t="shared" ref="P50" si="67">IF(E50="R",J50,0)</f>
        <v>624.875</v>
      </c>
      <c r="Q50" s="1">
        <f t="shared" ref="Q50" si="68">IF(E50="N",J50,0)</f>
        <v>0</v>
      </c>
      <c r="R50" s="1"/>
      <c r="S50" s="1">
        <f t="shared" ref="S50" si="69">IF(E50="R",N50,0)</f>
        <v>111.97760000000001</v>
      </c>
      <c r="T50" s="66">
        <f t="shared" ref="T50" si="70">IF(E50="N",N50,0)</f>
        <v>0</v>
      </c>
      <c r="V50" s="67"/>
    </row>
    <row r="51" spans="1:22">
      <c r="A51" s="79">
        <v>30</v>
      </c>
      <c r="B51" s="80" t="s">
        <v>134</v>
      </c>
      <c r="C51" s="105" t="s">
        <v>135</v>
      </c>
      <c r="D51" s="105"/>
      <c r="E51" s="82" t="s">
        <v>16</v>
      </c>
      <c r="F51" s="83"/>
      <c r="G51" s="83"/>
      <c r="H51" s="84"/>
      <c r="I51" s="85">
        <f>120+616.21+81</f>
        <v>817.21</v>
      </c>
      <c r="J51" s="85">
        <f>I51+H51</f>
        <v>817.21</v>
      </c>
      <c r="K51" s="86">
        <f>J51*0.03</f>
        <v>24.516300000000001</v>
      </c>
      <c r="L51" s="87">
        <f>J51*0.04</f>
        <v>32.688400000000001</v>
      </c>
      <c r="M51" s="87">
        <f>L51+K51</f>
        <v>57.204700000000003</v>
      </c>
      <c r="N51" s="87">
        <f>M51*2.56</f>
        <v>146.44403200000002</v>
      </c>
      <c r="O51" s="65">
        <f t="shared" ref="O51" si="71">M51</f>
        <v>57.204700000000003</v>
      </c>
      <c r="P51" s="1">
        <f t="shared" ref="P51" si="72">IF(E51="R",J51,0)</f>
        <v>817.21</v>
      </c>
      <c r="Q51" s="1">
        <f t="shared" ref="Q51" si="73">IF(E51="N",J51,0)</f>
        <v>0</v>
      </c>
      <c r="R51" s="1"/>
      <c r="S51" s="1">
        <f t="shared" ref="S51" si="74">IF(E51="R",N51,0)</f>
        <v>146.44403200000002</v>
      </c>
      <c r="T51" s="66">
        <f t="shared" ref="T51" si="75">IF(E51="N",N51,0)</f>
        <v>0</v>
      </c>
      <c r="V51" s="67"/>
    </row>
    <row r="52" spans="1:22">
      <c r="A52" s="22"/>
      <c r="B52" s="109"/>
      <c r="C52" s="110"/>
      <c r="D52" s="110"/>
      <c r="E52" s="110"/>
      <c r="F52" s="110"/>
      <c r="G52" s="110"/>
      <c r="H52" s="110"/>
      <c r="I52" s="110"/>
      <c r="J52" s="110"/>
      <c r="K52" s="111"/>
      <c r="L52" s="45" t="s">
        <v>18</v>
      </c>
      <c r="M52" s="46">
        <f>SUM(M49:M51)</f>
        <v>478.32714999999996</v>
      </c>
      <c r="N52" s="56">
        <f>SUM(N49:N51)</f>
        <v>1224.5175040000001</v>
      </c>
      <c r="O52" s="65"/>
      <c r="P52" s="1"/>
      <c r="Q52" s="1"/>
      <c r="R52" s="1"/>
      <c r="S52" s="1"/>
      <c r="T52" s="66"/>
      <c r="V52" s="67"/>
    </row>
    <row r="53" spans="1:22">
      <c r="A53" s="22"/>
      <c r="B53" s="121" t="s">
        <v>66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  <c r="O53" s="65">
        <f t="shared" si="2"/>
        <v>0</v>
      </c>
      <c r="P53" s="1">
        <f t="shared" si="11"/>
        <v>0</v>
      </c>
      <c r="Q53" s="1">
        <f t="shared" si="12"/>
        <v>0</v>
      </c>
      <c r="R53" s="1"/>
      <c r="S53" s="1">
        <f t="shared" si="5"/>
        <v>0</v>
      </c>
      <c r="T53" s="66">
        <f t="shared" si="6"/>
        <v>0</v>
      </c>
      <c r="V53" s="67">
        <f t="shared" si="13"/>
        <v>0</v>
      </c>
    </row>
    <row r="54" spans="1:22">
      <c r="A54" s="23">
        <v>31</v>
      </c>
      <c r="B54" s="48" t="s">
        <v>79</v>
      </c>
      <c r="C54" s="49" t="s">
        <v>67</v>
      </c>
      <c r="D54" s="49" t="s">
        <v>113</v>
      </c>
      <c r="E54" s="35" t="s">
        <v>16</v>
      </c>
      <c r="F54" s="50">
        <v>203.5</v>
      </c>
      <c r="G54" s="50">
        <v>10.5</v>
      </c>
      <c r="H54" s="51">
        <v>40.25</v>
      </c>
      <c r="I54" s="52">
        <f>(F54*G54)</f>
        <v>2136.75</v>
      </c>
      <c r="J54" s="52">
        <f>I54+H54</f>
        <v>2177</v>
      </c>
      <c r="K54" s="53">
        <f>J54*0.03</f>
        <v>65.31</v>
      </c>
      <c r="L54" s="54">
        <f>J54*0.04</f>
        <v>87.08</v>
      </c>
      <c r="M54" s="54">
        <f>L54+K54</f>
        <v>152.38999999999999</v>
      </c>
      <c r="N54" s="54">
        <f>M54*2.56</f>
        <v>390.11839999999995</v>
      </c>
      <c r="O54" s="65">
        <f t="shared" si="2"/>
        <v>152.38999999999999</v>
      </c>
      <c r="P54" s="1">
        <f t="shared" si="11"/>
        <v>2177</v>
      </c>
      <c r="Q54" s="1">
        <f t="shared" si="12"/>
        <v>0</v>
      </c>
      <c r="R54" s="1"/>
      <c r="S54" s="1">
        <f t="shared" si="5"/>
        <v>390.11839999999995</v>
      </c>
      <c r="T54" s="66">
        <f t="shared" si="6"/>
        <v>0</v>
      </c>
      <c r="V54" s="67">
        <f t="shared" si="13"/>
        <v>0</v>
      </c>
    </row>
    <row r="55" spans="1:22">
      <c r="A55" s="23" t="s">
        <v>136</v>
      </c>
      <c r="B55" s="48" t="s">
        <v>80</v>
      </c>
      <c r="C55" s="49" t="s">
        <v>107</v>
      </c>
      <c r="D55" s="49"/>
      <c r="E55" s="35" t="s">
        <v>16</v>
      </c>
      <c r="F55" s="50">
        <v>10.5</v>
      </c>
      <c r="G55" s="50">
        <v>3.5</v>
      </c>
      <c r="H55" s="51"/>
      <c r="I55" s="52"/>
      <c r="J55" s="52">
        <f>73.5</f>
        <v>73.5</v>
      </c>
      <c r="K55" s="53"/>
      <c r="L55" s="54">
        <f>M55</f>
        <v>3.7</v>
      </c>
      <c r="M55" s="54">
        <v>3.7</v>
      </c>
      <c r="N55" s="54">
        <f>M55*2.56</f>
        <v>9.4720000000000013</v>
      </c>
      <c r="O55" s="65">
        <f t="shared" si="2"/>
        <v>3.7</v>
      </c>
      <c r="P55" s="1">
        <f t="shared" si="11"/>
        <v>73.5</v>
      </c>
      <c r="Q55" s="1">
        <f t="shared" si="12"/>
        <v>0</v>
      </c>
      <c r="R55" s="1"/>
      <c r="S55" s="1">
        <f t="shared" si="5"/>
        <v>9.4720000000000013</v>
      </c>
      <c r="T55" s="66">
        <f t="shared" si="6"/>
        <v>0</v>
      </c>
      <c r="V55" s="67">
        <f t="shared" si="13"/>
        <v>0</v>
      </c>
    </row>
    <row r="56" spans="1:22">
      <c r="A56" s="22"/>
      <c r="B56" s="109"/>
      <c r="C56" s="110"/>
      <c r="D56" s="110"/>
      <c r="E56" s="110"/>
      <c r="F56" s="110"/>
      <c r="G56" s="110"/>
      <c r="H56" s="110"/>
      <c r="I56" s="110"/>
      <c r="J56" s="110"/>
      <c r="K56" s="111"/>
      <c r="L56" s="45" t="s">
        <v>18</v>
      </c>
      <c r="M56" s="46">
        <f>SUM(M54:M55)</f>
        <v>156.08999999999997</v>
      </c>
      <c r="N56" s="47">
        <f>SUM(N54:N55)</f>
        <v>399.59039999999993</v>
      </c>
      <c r="O56" s="65"/>
      <c r="P56" s="1"/>
      <c r="Q56" s="1"/>
      <c r="R56" s="1"/>
      <c r="S56" s="1"/>
      <c r="T56" s="66"/>
      <c r="V56" s="67"/>
    </row>
    <row r="57" spans="1:22">
      <c r="A57" s="22"/>
      <c r="B57" s="106" t="s">
        <v>73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8"/>
      <c r="O57" s="65">
        <f t="shared" si="2"/>
        <v>0</v>
      </c>
      <c r="P57" s="1">
        <f t="shared" si="11"/>
        <v>0</v>
      </c>
      <c r="Q57" s="1">
        <f t="shared" si="12"/>
        <v>0</v>
      </c>
      <c r="R57" s="1"/>
      <c r="S57" s="1">
        <f t="shared" si="5"/>
        <v>0</v>
      </c>
      <c r="T57" s="66">
        <f t="shared" si="6"/>
        <v>0</v>
      </c>
      <c r="V57" s="67">
        <f t="shared" si="13"/>
        <v>0</v>
      </c>
    </row>
    <row r="58" spans="1:22">
      <c r="A58" s="23">
        <v>32</v>
      </c>
      <c r="B58" s="48" t="s">
        <v>74</v>
      </c>
      <c r="C58" s="49" t="s">
        <v>75</v>
      </c>
      <c r="D58" s="49" t="s">
        <v>59</v>
      </c>
      <c r="E58" s="35" t="s">
        <v>39</v>
      </c>
      <c r="F58" s="50">
        <v>78</v>
      </c>
      <c r="G58" s="50">
        <v>8</v>
      </c>
      <c r="H58" s="51"/>
      <c r="I58" s="52">
        <f>(F58*G58)</f>
        <v>624</v>
      </c>
      <c r="J58" s="52">
        <f>I58+H58</f>
        <v>624</v>
      </c>
      <c r="K58" s="53"/>
      <c r="L58" s="54">
        <f>J58*0.04</f>
        <v>24.96</v>
      </c>
      <c r="M58" s="54">
        <f>L58+K58</f>
        <v>24.96</v>
      </c>
      <c r="N58" s="54">
        <f>M58*2.56</f>
        <v>63.897600000000004</v>
      </c>
      <c r="O58" s="65">
        <f t="shared" si="2"/>
        <v>24.96</v>
      </c>
      <c r="P58" s="1">
        <f t="shared" si="11"/>
        <v>0</v>
      </c>
      <c r="Q58" s="1">
        <f t="shared" si="12"/>
        <v>624</v>
      </c>
      <c r="R58" s="1"/>
      <c r="S58" s="1">
        <f t="shared" si="5"/>
        <v>0</v>
      </c>
      <c r="T58" s="66">
        <f t="shared" si="6"/>
        <v>63.897600000000004</v>
      </c>
      <c r="V58" s="67">
        <f t="shared" si="13"/>
        <v>0</v>
      </c>
    </row>
    <row r="59" spans="1:22">
      <c r="A59" s="23">
        <v>33</v>
      </c>
      <c r="B59" s="48" t="s">
        <v>81</v>
      </c>
      <c r="C59" s="49" t="s">
        <v>74</v>
      </c>
      <c r="D59" s="49" t="s">
        <v>76</v>
      </c>
      <c r="E59" s="35" t="s">
        <v>39</v>
      </c>
      <c r="F59" s="50">
        <v>40</v>
      </c>
      <c r="G59" s="50">
        <v>6.5</v>
      </c>
      <c r="H59" s="51"/>
      <c r="I59" s="52">
        <f>(F59*G59)</f>
        <v>260</v>
      </c>
      <c r="J59" s="52">
        <f>I59+H59</f>
        <v>260</v>
      </c>
      <c r="K59" s="53"/>
      <c r="L59" s="54">
        <f>J59*0.04</f>
        <v>10.4</v>
      </c>
      <c r="M59" s="54">
        <f>L59+K59</f>
        <v>10.4</v>
      </c>
      <c r="N59" s="54">
        <f>M59*2.56</f>
        <v>26.624000000000002</v>
      </c>
      <c r="O59" s="65">
        <f t="shared" si="2"/>
        <v>10.4</v>
      </c>
      <c r="P59" s="1">
        <f t="shared" si="11"/>
        <v>0</v>
      </c>
      <c r="Q59" s="1">
        <f t="shared" si="12"/>
        <v>260</v>
      </c>
      <c r="R59" s="1"/>
      <c r="S59" s="1">
        <f t="shared" si="5"/>
        <v>0</v>
      </c>
      <c r="T59" s="66">
        <f t="shared" si="6"/>
        <v>26.624000000000002</v>
      </c>
      <c r="V59" s="67">
        <f t="shared" si="13"/>
        <v>0</v>
      </c>
    </row>
    <row r="60" spans="1:22">
      <c r="A60" s="23">
        <v>34</v>
      </c>
      <c r="B60" s="48" t="s">
        <v>78</v>
      </c>
      <c r="C60" s="49" t="s">
        <v>75</v>
      </c>
      <c r="D60" s="49" t="s">
        <v>77</v>
      </c>
      <c r="E60" s="35" t="s">
        <v>39</v>
      </c>
      <c r="F60" s="50">
        <v>90</v>
      </c>
      <c r="G60" s="50">
        <v>8.5</v>
      </c>
      <c r="H60" s="51"/>
      <c r="I60" s="52">
        <f>(F60*G60)</f>
        <v>765</v>
      </c>
      <c r="J60" s="52">
        <f>I60+H60</f>
        <v>765</v>
      </c>
      <c r="K60" s="53"/>
      <c r="L60" s="54">
        <f>J60*0.04</f>
        <v>30.6</v>
      </c>
      <c r="M60" s="54">
        <f>L60+K60</f>
        <v>30.6</v>
      </c>
      <c r="N60" s="54">
        <f>M60*2.56</f>
        <v>78.335999999999999</v>
      </c>
      <c r="O60" s="65">
        <f t="shared" si="2"/>
        <v>30.6</v>
      </c>
      <c r="P60" s="1">
        <f t="shared" si="11"/>
        <v>0</v>
      </c>
      <c r="Q60" s="1">
        <f t="shared" si="12"/>
        <v>765</v>
      </c>
      <c r="R60" s="1"/>
      <c r="S60" s="1">
        <f t="shared" si="5"/>
        <v>0</v>
      </c>
      <c r="T60" s="66">
        <f t="shared" si="6"/>
        <v>78.335999999999999</v>
      </c>
      <c r="V60" s="67">
        <f t="shared" si="13"/>
        <v>0</v>
      </c>
    </row>
    <row r="61" spans="1:22">
      <c r="A61" s="22"/>
      <c r="B61" s="109"/>
      <c r="C61" s="110"/>
      <c r="D61" s="110"/>
      <c r="E61" s="110"/>
      <c r="F61" s="110"/>
      <c r="G61" s="110"/>
      <c r="H61" s="110"/>
      <c r="I61" s="110"/>
      <c r="J61" s="110"/>
      <c r="K61" s="111"/>
      <c r="L61" s="45" t="s">
        <v>18</v>
      </c>
      <c r="M61" s="46">
        <f>SUM(M58:M60)</f>
        <v>65.960000000000008</v>
      </c>
      <c r="N61" s="56">
        <f>SUM(N58:N60)</f>
        <v>168.85759999999999</v>
      </c>
      <c r="O61" s="65"/>
      <c r="P61" s="1"/>
      <c r="Q61" s="1"/>
      <c r="R61" s="1"/>
      <c r="S61" s="1"/>
      <c r="T61" s="66"/>
      <c r="V61" s="67"/>
    </row>
    <row r="62" spans="1:22"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65"/>
      <c r="P62" s="1"/>
      <c r="Q62" s="1"/>
      <c r="R62" s="1"/>
      <c r="S62" s="1"/>
      <c r="T62" s="66"/>
      <c r="V62" s="67"/>
    </row>
    <row r="63" spans="1:22" ht="18.75">
      <c r="F63" s="24" t="s">
        <v>19</v>
      </c>
      <c r="G63" s="24"/>
      <c r="H63" s="24"/>
      <c r="I63" s="28"/>
      <c r="J63" s="32">
        <f>SUM(J58:J60)+SUM(J19:J26)+SUM(J6:J10)+SUM(J49:J51)+SUM(J38:J38)+SUM(J45:J46)+SUM(J29:J35)+SUM(J13:J16)+SUM(J54:J55)+SUM(J41:J42)</f>
        <v>40268.762000000002</v>
      </c>
      <c r="K63" s="124"/>
      <c r="L63" s="125"/>
      <c r="M63" s="28">
        <f>M61+M27+M11+M52+M47+M39+M56+M36+M17+M43</f>
        <v>2256.0758600000004</v>
      </c>
      <c r="N63" s="29">
        <f>N61+N27+N11+N47+N39+N52+N36+N56+N17+N43</f>
        <v>5775.5542015999999</v>
      </c>
      <c r="O63" s="65">
        <f>SUM(O6:O61)</f>
        <v>2256.0758599999999</v>
      </c>
      <c r="P63" s="65">
        <f>SUM(P6:P61)</f>
        <v>15145.173999999999</v>
      </c>
      <c r="Q63" s="65">
        <f>SUM(Q6:Q61)</f>
        <v>25123.587999999996</v>
      </c>
      <c r="R63" s="1"/>
      <c r="S63" s="65">
        <f>SUM(S6:S61)</f>
        <v>2708.3053568000005</v>
      </c>
      <c r="T63" s="65">
        <f>SUM(T6:T61)</f>
        <v>3067.2488447999995</v>
      </c>
      <c r="V63" s="67">
        <f t="shared" si="13"/>
        <v>0</v>
      </c>
    </row>
    <row r="64" spans="1:22" ht="15.75">
      <c r="I64" s="30"/>
      <c r="J64" s="30" t="s">
        <v>20</v>
      </c>
      <c r="N64" s="30" t="s">
        <v>15</v>
      </c>
      <c r="O64" s="65"/>
      <c r="P64" s="1"/>
      <c r="Q64" s="1"/>
      <c r="R64" s="1"/>
      <c r="S64" s="1"/>
      <c r="T64" s="66"/>
      <c r="U64" s="76">
        <f>T63+S63</f>
        <v>5775.5542015999999</v>
      </c>
      <c r="V64" s="67"/>
    </row>
    <row r="65" spans="1:22" ht="18.75">
      <c r="F65" s="127" t="s">
        <v>121</v>
      </c>
      <c r="G65" s="124" t="s">
        <v>21</v>
      </c>
      <c r="H65" s="125"/>
      <c r="I65" s="28"/>
      <c r="J65" s="31">
        <f>P63-J67</f>
        <v>8311.9290000000001</v>
      </c>
      <c r="K65" s="124"/>
      <c r="L65" s="126"/>
      <c r="M65" s="125"/>
      <c r="N65" s="28">
        <f>S63-N67</f>
        <v>1483.7878528000003</v>
      </c>
      <c r="O65" s="65"/>
      <c r="Q65" s="76">
        <f>P63+Q63-J63</f>
        <v>0</v>
      </c>
      <c r="S65" s="70"/>
      <c r="T65" s="66"/>
      <c r="V65" s="67"/>
    </row>
    <row r="66" spans="1:22" ht="18.75">
      <c r="A66" s="118" t="s">
        <v>64</v>
      </c>
      <c r="B66" s="119"/>
      <c r="C66" s="120"/>
      <c r="F66" s="127"/>
      <c r="G66" s="124" t="s">
        <v>22</v>
      </c>
      <c r="H66" s="125"/>
      <c r="I66" s="28"/>
      <c r="J66" s="31">
        <f>Q63-J68</f>
        <v>14177.617999999997</v>
      </c>
      <c r="K66" s="124"/>
      <c r="L66" s="126"/>
      <c r="M66" s="125"/>
      <c r="N66" s="28">
        <f>T63-N68</f>
        <v>1666.1688447999995</v>
      </c>
      <c r="O66" s="65"/>
      <c r="S66" s="71"/>
      <c r="T66" s="66"/>
      <c r="V66" s="67"/>
    </row>
    <row r="67" spans="1:22" ht="18.75">
      <c r="A67" s="118" t="s">
        <v>122</v>
      </c>
      <c r="B67" s="119"/>
      <c r="C67" s="120"/>
      <c r="F67" s="127" t="s">
        <v>120</v>
      </c>
      <c r="G67" s="124" t="s">
        <v>21</v>
      </c>
      <c r="H67" s="125"/>
      <c r="I67" s="77"/>
      <c r="J67" s="31">
        <f>P49+P50+P51</f>
        <v>6833.2449999999999</v>
      </c>
      <c r="K67" s="61"/>
      <c r="L67" s="63"/>
      <c r="M67" s="62"/>
      <c r="N67" s="31">
        <f>SUM(S49:S51)</f>
        <v>1224.5175040000001</v>
      </c>
      <c r="O67" s="65"/>
      <c r="P67" s="70"/>
      <c r="S67" s="72"/>
      <c r="T67" s="66"/>
      <c r="V67" s="67"/>
    </row>
    <row r="68" spans="1:22" ht="18.75">
      <c r="F68" s="127"/>
      <c r="G68" s="124" t="s">
        <v>22</v>
      </c>
      <c r="H68" s="125"/>
      <c r="I68" s="28"/>
      <c r="J68" s="31">
        <f>Y7</f>
        <v>10945.97</v>
      </c>
      <c r="K68" s="61"/>
      <c r="L68" s="63"/>
      <c r="M68" s="62"/>
      <c r="N68" s="31">
        <v>1401.08</v>
      </c>
      <c r="O68" s="65"/>
      <c r="P68" s="70"/>
      <c r="R68" t="s">
        <v>118</v>
      </c>
      <c r="S68" s="72"/>
      <c r="T68" s="66"/>
      <c r="U68" t="s">
        <v>119</v>
      </c>
      <c r="V68" s="72"/>
    </row>
    <row r="69" spans="1:22" ht="18.75">
      <c r="G69" s="77" t="s">
        <v>117</v>
      </c>
      <c r="H69" s="62"/>
      <c r="I69" s="28"/>
      <c r="J69" s="31">
        <f>J67+J66+J65+J68</f>
        <v>40268.761999999995</v>
      </c>
      <c r="K69" s="61"/>
      <c r="L69" s="63"/>
      <c r="M69" s="62"/>
      <c r="N69" s="31">
        <f>N67+N66+N65+N68</f>
        <v>5775.5542015999999</v>
      </c>
      <c r="O69" s="65"/>
      <c r="P69" s="70"/>
      <c r="R69" t="s">
        <v>10</v>
      </c>
      <c r="S69" s="72">
        <f>SUM(J6:J10)</f>
        <v>10945.97</v>
      </c>
      <c r="T69" s="66"/>
      <c r="U69" t="s">
        <v>10</v>
      </c>
      <c r="V69" s="72">
        <f>P49</f>
        <v>5391.16</v>
      </c>
    </row>
    <row r="70" spans="1:22">
      <c r="N70" s="60"/>
      <c r="O70" s="65"/>
      <c r="P70" s="1"/>
      <c r="Q70" s="1"/>
      <c r="R70" s="1" t="s">
        <v>115</v>
      </c>
      <c r="S70" s="66">
        <f>SUM(N6:N10)</f>
        <v>1401.0841600000001</v>
      </c>
      <c r="T70" s="66"/>
      <c r="U70" s="1" t="s">
        <v>115</v>
      </c>
      <c r="V70" s="1">
        <f>S49</f>
        <v>966.09587199999999</v>
      </c>
    </row>
    <row r="71" spans="1:22">
      <c r="N71" s="60"/>
      <c r="O71" s="65"/>
      <c r="P71" s="1"/>
      <c r="Q71" s="1"/>
      <c r="R71" s="1"/>
      <c r="S71" s="1"/>
      <c r="T71" s="66"/>
      <c r="V71" s="67"/>
    </row>
    <row r="72" spans="1:22">
      <c r="M72" s="60">
        <f>M63*2.56</f>
        <v>5775.5542016000009</v>
      </c>
      <c r="N72" s="60"/>
      <c r="O72" s="65"/>
      <c r="P72" s="1"/>
      <c r="Q72" s="1"/>
      <c r="R72" s="1"/>
      <c r="S72" s="1"/>
      <c r="T72" s="66"/>
      <c r="V72" s="67"/>
    </row>
    <row r="73" spans="1:22">
      <c r="O73" s="65"/>
      <c r="P73" s="1"/>
      <c r="Q73" s="1"/>
      <c r="R73" s="1"/>
      <c r="S73" s="1"/>
      <c r="T73" s="66"/>
      <c r="V73" s="67"/>
    </row>
    <row r="74" spans="1:22">
      <c r="O74" s="65"/>
      <c r="P74" s="1"/>
      <c r="Q74" s="1"/>
      <c r="R74" s="1"/>
      <c r="S74" s="1"/>
      <c r="T74" s="66"/>
      <c r="V74" s="67"/>
    </row>
    <row r="75" spans="1:22">
      <c r="O75" s="65"/>
      <c r="P75" s="1"/>
      <c r="Q75" s="1"/>
      <c r="R75" s="1"/>
      <c r="S75" s="1"/>
      <c r="T75" s="66"/>
      <c r="V75" s="67"/>
    </row>
    <row r="76" spans="1:22">
      <c r="O76" s="65"/>
      <c r="P76" s="1"/>
      <c r="Q76" s="1"/>
      <c r="R76" s="1"/>
      <c r="S76" s="1"/>
      <c r="T76" s="66"/>
      <c r="V76" s="67"/>
    </row>
    <row r="77" spans="1:22">
      <c r="O77" s="69"/>
      <c r="P77" s="1"/>
      <c r="Q77" s="1"/>
      <c r="R77" s="1"/>
      <c r="S77" s="1"/>
      <c r="T77" s="66"/>
      <c r="V77" s="67"/>
    </row>
    <row r="78" spans="1:22">
      <c r="O78" s="69"/>
      <c r="P78" s="1"/>
      <c r="Q78" s="1"/>
      <c r="R78" s="1"/>
      <c r="S78" s="1"/>
      <c r="T78" s="66"/>
      <c r="V78" s="67"/>
    </row>
    <row r="79" spans="1:22">
      <c r="O79" s="69"/>
      <c r="P79" s="1"/>
      <c r="Q79" s="1"/>
      <c r="R79" s="1"/>
      <c r="S79" s="1"/>
      <c r="T79" s="66"/>
      <c r="V79" s="67"/>
    </row>
    <row r="80" spans="1:22">
      <c r="O80" s="69"/>
      <c r="P80" s="1"/>
      <c r="Q80" s="1"/>
      <c r="R80" s="1"/>
      <c r="S80" s="1"/>
      <c r="T80" s="66"/>
      <c r="V80" s="67"/>
    </row>
    <row r="81" spans="15:22">
      <c r="O81" s="69"/>
      <c r="P81" s="1"/>
      <c r="Q81" s="1"/>
      <c r="R81" s="1"/>
      <c r="S81" s="1"/>
      <c r="T81" s="66"/>
      <c r="V81" s="67"/>
    </row>
    <row r="82" spans="15:22">
      <c r="O82" s="69"/>
      <c r="P82" s="1"/>
      <c r="Q82" s="1"/>
      <c r="R82" s="1"/>
      <c r="S82" s="1"/>
      <c r="T82" s="66"/>
      <c r="V82" s="67"/>
    </row>
    <row r="83" spans="15:22">
      <c r="O83" s="69"/>
      <c r="P83" s="1"/>
      <c r="Q83" s="1"/>
      <c r="R83" s="1"/>
      <c r="S83" s="1"/>
      <c r="T83" s="66"/>
      <c r="V83" s="67"/>
    </row>
    <row r="84" spans="15:22">
      <c r="O84" s="69"/>
      <c r="P84" s="1"/>
      <c r="Q84" s="1"/>
      <c r="R84" s="1"/>
      <c r="S84" s="1"/>
      <c r="T84" s="66"/>
      <c r="V84" s="67"/>
    </row>
    <row r="85" spans="15:22">
      <c r="O85" s="69"/>
      <c r="P85" s="1"/>
      <c r="Q85" s="1"/>
      <c r="R85" s="1"/>
      <c r="S85" s="1"/>
      <c r="T85" s="66"/>
      <c r="V85" s="67"/>
    </row>
    <row r="86" spans="15:22">
      <c r="O86" s="69"/>
      <c r="P86" s="1"/>
      <c r="Q86" s="1"/>
      <c r="R86" s="1"/>
      <c r="S86" s="1"/>
      <c r="T86" s="66"/>
      <c r="V86" s="67"/>
    </row>
    <row r="87" spans="15:22">
      <c r="O87" s="69"/>
      <c r="P87" s="1"/>
      <c r="Q87" s="1"/>
      <c r="R87" s="1"/>
      <c r="S87" s="1"/>
      <c r="T87" s="66"/>
      <c r="V87" s="67"/>
    </row>
    <row r="88" spans="15:22">
      <c r="O88" s="69"/>
      <c r="P88" s="1"/>
      <c r="Q88" s="1"/>
      <c r="R88" s="1"/>
      <c r="S88" s="1"/>
      <c r="T88" s="66"/>
      <c r="V88" s="67"/>
    </row>
    <row r="89" spans="15:22">
      <c r="O89" s="69"/>
      <c r="P89" s="1"/>
      <c r="Q89" s="1"/>
      <c r="R89" s="1"/>
      <c r="S89" s="1"/>
      <c r="T89" s="66"/>
      <c r="V89" s="67"/>
    </row>
    <row r="90" spans="15:22">
      <c r="O90" s="69"/>
      <c r="P90" s="1"/>
      <c r="Q90" s="1"/>
      <c r="R90" s="1"/>
      <c r="S90" s="1"/>
      <c r="T90" s="66"/>
      <c r="V90" s="67"/>
    </row>
    <row r="91" spans="15:22">
      <c r="O91" s="69"/>
      <c r="P91" s="1"/>
      <c r="Q91" s="1"/>
      <c r="R91" s="1"/>
      <c r="S91" s="1"/>
      <c r="T91" s="66"/>
      <c r="V91" s="67"/>
    </row>
    <row r="92" spans="15:22">
      <c r="O92" s="69"/>
      <c r="P92" s="1"/>
      <c r="Q92" s="1"/>
      <c r="R92" s="1"/>
      <c r="S92" s="1"/>
      <c r="T92" s="66"/>
      <c r="V92" s="67"/>
    </row>
    <row r="93" spans="15:22">
      <c r="O93" s="69"/>
      <c r="P93" s="1"/>
      <c r="Q93" s="1"/>
      <c r="R93" s="1"/>
      <c r="S93" s="1"/>
      <c r="T93" s="66"/>
      <c r="V93" s="67"/>
    </row>
    <row r="94" spans="15:22">
      <c r="O94" s="69"/>
      <c r="P94" s="1"/>
      <c r="Q94" s="1"/>
      <c r="R94" s="1"/>
      <c r="S94" s="1"/>
      <c r="T94" s="66"/>
      <c r="V94" s="67"/>
    </row>
    <row r="95" spans="15:22">
      <c r="O95" s="69"/>
      <c r="P95" s="1"/>
      <c r="Q95" s="1"/>
      <c r="R95" s="1"/>
      <c r="S95" s="1"/>
      <c r="T95" s="66"/>
      <c r="V95" s="67"/>
    </row>
    <row r="96" spans="15:22">
      <c r="O96" s="69"/>
      <c r="P96" s="1"/>
      <c r="Q96" s="1"/>
      <c r="R96" s="1"/>
      <c r="S96" s="1"/>
      <c r="T96" s="66"/>
      <c r="V96" s="67"/>
    </row>
    <row r="97" spans="15:22">
      <c r="O97" s="69"/>
      <c r="P97" s="1"/>
      <c r="Q97" s="1"/>
      <c r="R97" s="1"/>
      <c r="S97" s="1"/>
      <c r="T97" s="66"/>
      <c r="V97" s="67"/>
    </row>
    <row r="98" spans="15:22">
      <c r="O98" s="69"/>
      <c r="P98" s="1"/>
      <c r="Q98" s="1"/>
      <c r="R98" s="1"/>
      <c r="S98" s="1"/>
      <c r="T98" s="66"/>
      <c r="V98" s="67"/>
    </row>
    <row r="99" spans="15:22">
      <c r="O99" s="65"/>
      <c r="P99" s="1"/>
      <c r="Q99" s="1"/>
      <c r="R99" s="1"/>
      <c r="S99" s="1"/>
      <c r="T99" s="66"/>
      <c r="V99" s="67"/>
    </row>
    <row r="100" spans="15:22">
      <c r="O100" s="65"/>
      <c r="P100" s="1"/>
      <c r="Q100" s="1"/>
      <c r="R100" s="1"/>
      <c r="S100" s="1"/>
      <c r="T100" s="66"/>
      <c r="V100" s="67"/>
    </row>
    <row r="101" spans="15:22">
      <c r="O101" s="65"/>
      <c r="P101" s="1"/>
      <c r="Q101" s="1"/>
      <c r="R101" s="1"/>
      <c r="S101" s="1"/>
      <c r="T101" s="66"/>
      <c r="V101" s="67"/>
    </row>
    <row r="102" spans="15:22">
      <c r="O102" s="65"/>
      <c r="P102" s="1"/>
      <c r="Q102" s="1"/>
      <c r="R102" s="1"/>
      <c r="S102" s="1"/>
      <c r="T102" s="66"/>
      <c r="V102" s="67"/>
    </row>
    <row r="103" spans="15:22">
      <c r="O103" s="65"/>
      <c r="P103" s="1"/>
      <c r="Q103" s="1"/>
      <c r="R103" s="1"/>
      <c r="S103" s="1"/>
      <c r="T103" s="66"/>
      <c r="V103" s="67"/>
    </row>
    <row r="104" spans="15:22">
      <c r="O104" s="65"/>
      <c r="P104" s="1"/>
      <c r="Q104" s="1"/>
      <c r="R104" s="1"/>
      <c r="S104" s="1"/>
      <c r="T104" s="66"/>
      <c r="V104" s="67"/>
    </row>
    <row r="105" spans="15:22">
      <c r="O105" s="65"/>
      <c r="P105" s="1"/>
      <c r="Q105" s="1"/>
      <c r="R105" s="1"/>
      <c r="S105" s="1"/>
      <c r="T105" s="66"/>
      <c r="V105" s="67"/>
    </row>
    <row r="106" spans="15:22">
      <c r="O106" s="65"/>
      <c r="P106" s="1"/>
      <c r="Q106" s="1"/>
      <c r="R106" s="1"/>
      <c r="S106" s="1"/>
      <c r="T106" s="66"/>
      <c r="V106" s="67"/>
    </row>
    <row r="107" spans="15:22">
      <c r="O107" s="65"/>
      <c r="P107" s="1"/>
      <c r="Q107" s="1"/>
      <c r="R107" s="1"/>
      <c r="S107" s="1"/>
      <c r="T107" s="66"/>
      <c r="V107" s="67"/>
    </row>
    <row r="108" spans="15:22">
      <c r="O108" s="65"/>
      <c r="P108" s="1"/>
      <c r="Q108" s="1"/>
      <c r="R108" s="1"/>
      <c r="S108" s="1"/>
      <c r="T108" s="66"/>
      <c r="V108" s="67"/>
    </row>
    <row r="109" spans="15:22">
      <c r="O109" s="65"/>
      <c r="P109" s="1"/>
      <c r="Q109" s="1"/>
      <c r="R109" s="1"/>
      <c r="S109" s="1"/>
      <c r="T109" s="66"/>
      <c r="V109" s="67"/>
    </row>
    <row r="110" spans="15:22">
      <c r="O110" s="65"/>
      <c r="P110" s="1"/>
      <c r="Q110" s="1"/>
      <c r="R110" s="1"/>
      <c r="S110" s="1"/>
      <c r="T110" s="66"/>
      <c r="V110" s="67"/>
    </row>
    <row r="111" spans="15:22">
      <c r="O111" s="65"/>
      <c r="P111" s="1"/>
      <c r="Q111" s="1"/>
      <c r="R111" s="1"/>
      <c r="S111" s="1"/>
      <c r="T111" s="66"/>
      <c r="V111" s="67"/>
    </row>
    <row r="112" spans="15:22">
      <c r="O112" s="65"/>
      <c r="P112" s="1"/>
      <c r="Q112" s="1"/>
      <c r="R112" s="1"/>
      <c r="S112" s="1"/>
      <c r="T112" s="66"/>
      <c r="V112" s="67"/>
    </row>
    <row r="113" spans="15:22">
      <c r="O113" s="65"/>
      <c r="P113" s="1"/>
      <c r="Q113" s="1"/>
      <c r="R113" s="1"/>
      <c r="S113" s="1"/>
      <c r="T113" s="66"/>
      <c r="V113" s="67"/>
    </row>
    <row r="114" spans="15:22">
      <c r="O114" s="65"/>
      <c r="P114" s="1"/>
      <c r="Q114" s="1"/>
      <c r="R114" s="1"/>
      <c r="S114" s="1"/>
      <c r="T114" s="66"/>
      <c r="V114" s="67"/>
    </row>
    <row r="115" spans="15:22">
      <c r="O115" s="65"/>
      <c r="P115" s="1"/>
      <c r="Q115" s="1"/>
      <c r="R115" s="1"/>
      <c r="S115" s="1"/>
      <c r="T115" s="66"/>
      <c r="V115" s="67"/>
    </row>
    <row r="116" spans="15:22">
      <c r="O116" s="65"/>
      <c r="P116" s="1"/>
      <c r="Q116" s="1"/>
      <c r="R116" s="1"/>
      <c r="S116" s="1"/>
      <c r="T116" s="66"/>
      <c r="V116" s="67"/>
    </row>
    <row r="117" spans="15:22">
      <c r="O117" s="65"/>
      <c r="P117" s="1"/>
      <c r="Q117" s="1"/>
      <c r="R117" s="1"/>
      <c r="S117" s="1"/>
      <c r="T117" s="66"/>
      <c r="V117" s="67"/>
    </row>
    <row r="118" spans="15:22">
      <c r="O118" s="65"/>
      <c r="P118" s="1"/>
      <c r="Q118" s="1"/>
      <c r="R118" s="1"/>
      <c r="S118" s="1"/>
      <c r="T118" s="66"/>
      <c r="V118" s="67"/>
    </row>
    <row r="119" spans="15:22">
      <c r="O119" s="65"/>
      <c r="P119" s="1"/>
      <c r="Q119" s="1"/>
      <c r="R119" s="1"/>
      <c r="S119" s="1"/>
      <c r="T119" s="66"/>
      <c r="V119" s="67"/>
    </row>
    <row r="120" spans="15:22">
      <c r="O120" s="65"/>
      <c r="P120" s="1"/>
      <c r="Q120" s="1"/>
      <c r="R120" s="1"/>
      <c r="S120" s="1"/>
      <c r="T120" s="66"/>
      <c r="V120" s="67"/>
    </row>
    <row r="121" spans="15:22">
      <c r="O121" s="65"/>
      <c r="P121" s="1"/>
      <c r="Q121" s="1"/>
      <c r="R121" s="1"/>
      <c r="S121" s="1"/>
      <c r="T121" s="66"/>
      <c r="V121" s="67"/>
    </row>
    <row r="122" spans="15:22">
      <c r="O122" s="65"/>
      <c r="P122" s="1"/>
      <c r="Q122" s="1"/>
      <c r="R122" s="1"/>
      <c r="S122" s="1"/>
      <c r="T122" s="66"/>
      <c r="V122" s="67"/>
    </row>
    <row r="123" spans="15:22">
      <c r="O123" s="65"/>
      <c r="P123" s="1"/>
      <c r="Q123" s="1"/>
      <c r="R123" s="1"/>
      <c r="S123" s="1"/>
      <c r="T123" s="66"/>
      <c r="V123" s="67"/>
    </row>
    <row r="124" spans="15:22">
      <c r="O124" s="65"/>
      <c r="P124" s="1"/>
      <c r="Q124" s="1"/>
      <c r="R124" s="1"/>
      <c r="S124" s="1"/>
      <c r="T124" s="66"/>
      <c r="V124" s="67"/>
    </row>
    <row r="125" spans="15:22">
      <c r="O125" s="65"/>
      <c r="P125" s="1"/>
      <c r="Q125" s="1"/>
      <c r="R125" s="1"/>
      <c r="S125" s="1"/>
      <c r="T125" s="66"/>
      <c r="V125" s="67"/>
    </row>
    <row r="126" spans="15:22">
      <c r="O126" s="65"/>
      <c r="P126" s="1"/>
      <c r="Q126" s="1"/>
      <c r="R126" s="1"/>
      <c r="S126" s="1"/>
      <c r="T126" s="66"/>
      <c r="V126" s="67"/>
    </row>
    <row r="127" spans="15:22">
      <c r="O127" s="65"/>
      <c r="P127" s="1"/>
      <c r="Q127" s="1"/>
      <c r="R127" s="1"/>
      <c r="S127" s="1"/>
      <c r="T127" s="66"/>
      <c r="V127" s="67"/>
    </row>
    <row r="128" spans="15:22">
      <c r="O128" s="65"/>
      <c r="P128" s="1"/>
      <c r="Q128" s="1"/>
      <c r="R128" s="1"/>
      <c r="S128" s="1"/>
      <c r="T128" s="66"/>
      <c r="V128" s="67"/>
    </row>
    <row r="129" spans="15:22">
      <c r="O129" s="65"/>
      <c r="P129" s="1"/>
      <c r="Q129" s="1"/>
      <c r="R129" s="1"/>
      <c r="S129" s="1"/>
      <c r="T129" s="66"/>
      <c r="V129" s="67"/>
    </row>
    <row r="130" spans="15:22">
      <c r="O130" s="65"/>
      <c r="P130" s="1"/>
      <c r="Q130" s="1"/>
      <c r="R130" s="1"/>
      <c r="S130" s="1"/>
      <c r="T130" s="66"/>
      <c r="V130" s="67"/>
    </row>
    <row r="131" spans="15:22">
      <c r="O131" s="65"/>
      <c r="P131" s="1"/>
      <c r="Q131" s="1"/>
      <c r="R131" s="1"/>
      <c r="S131" s="1"/>
      <c r="T131" s="66"/>
      <c r="V131" s="67"/>
    </row>
    <row r="132" spans="15:22">
      <c r="O132" s="65"/>
      <c r="P132" s="1"/>
      <c r="Q132" s="1"/>
      <c r="R132" s="1"/>
      <c r="S132" s="1"/>
      <c r="T132" s="66"/>
      <c r="V132" s="67"/>
    </row>
    <row r="134" spans="15:22">
      <c r="P134">
        <f>SUM(P6:P132)</f>
        <v>30290.347999999998</v>
      </c>
      <c r="S134" s="70">
        <f>SUM(S6:S132)</f>
        <v>17763.664873599999</v>
      </c>
    </row>
    <row r="135" spans="15:22">
      <c r="P135">
        <f>SUM(Q6:Q132)</f>
        <v>50247.175999999992</v>
      </c>
      <c r="S135" s="71">
        <f>SUM(T6:T132)</f>
        <v>6134.4976895999989</v>
      </c>
    </row>
    <row r="136" spans="15:22">
      <c r="P136" s="70">
        <f>SUM(P134:P135)</f>
        <v>80537.52399999999</v>
      </c>
      <c r="S136" s="72">
        <f>SUM(S134:S135)</f>
        <v>23898.1625632</v>
      </c>
    </row>
  </sheetData>
  <mergeCells count="34">
    <mergeCell ref="A67:C67"/>
    <mergeCell ref="F67:F68"/>
    <mergeCell ref="G67:H67"/>
    <mergeCell ref="G68:H68"/>
    <mergeCell ref="F65:F66"/>
    <mergeCell ref="B52:K52"/>
    <mergeCell ref="A66:C66"/>
    <mergeCell ref="B53:N53"/>
    <mergeCell ref="B56:K56"/>
    <mergeCell ref="B43:K43"/>
    <mergeCell ref="K63:L63"/>
    <mergeCell ref="K65:M65"/>
    <mergeCell ref="K66:M66"/>
    <mergeCell ref="G65:H65"/>
    <mergeCell ref="G66:H66"/>
    <mergeCell ref="B57:N57"/>
    <mergeCell ref="B61:K61"/>
    <mergeCell ref="B47:K47"/>
    <mergeCell ref="B48:N48"/>
    <mergeCell ref="B37:N37"/>
    <mergeCell ref="B39:K39"/>
    <mergeCell ref="B44:N44"/>
    <mergeCell ref="A1:N1"/>
    <mergeCell ref="B2:N2"/>
    <mergeCell ref="C4:D4"/>
    <mergeCell ref="B5:N5"/>
    <mergeCell ref="B11:K11"/>
    <mergeCell ref="B12:N12"/>
    <mergeCell ref="B17:K17"/>
    <mergeCell ref="B40:N40"/>
    <mergeCell ref="B28:N28"/>
    <mergeCell ref="B36:K36"/>
    <mergeCell ref="B18:N18"/>
    <mergeCell ref="B27:K27"/>
  </mergeCells>
  <pageMargins left="0.25" right="0.25" top="0.75" bottom="0.75" header="0.3" footer="0.3"/>
  <pageSetup paperSize="9" scale="5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topLeftCell="A28" workbookViewId="0">
      <selection activeCell="E35" sqref="E35:O35"/>
    </sheetView>
  </sheetViews>
  <sheetFormatPr defaultColWidth="9" defaultRowHeight="15"/>
  <cols>
    <col min="1" max="1" width="4.42578125" style="64" customWidth="1"/>
    <col min="2" max="2" width="34" style="2" customWidth="1"/>
    <col min="3" max="3" width="32" style="3" hidden="1" customWidth="1"/>
    <col min="4" max="4" width="31.85546875" style="3" hidden="1" customWidth="1"/>
    <col min="5" max="5" width="5.140625" style="3" customWidth="1"/>
    <col min="6" max="6" width="16.85546875" style="3" customWidth="1"/>
    <col min="7" max="7" width="11.42578125" style="3" customWidth="1"/>
    <col min="8" max="10" width="14.5703125" style="3" customWidth="1"/>
    <col min="11" max="11" width="21.7109375" style="3" customWidth="1"/>
    <col min="12" max="12" width="16.7109375" style="3" customWidth="1"/>
    <col min="13" max="13" width="14.5703125" style="3" customWidth="1"/>
    <col min="14" max="14" width="16.7109375" style="3" customWidth="1"/>
    <col min="15" max="15" width="14.5703125" style="3" customWidth="1"/>
  </cols>
  <sheetData>
    <row r="1" spans="1:15" ht="17.2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>
      <c r="A2" s="4"/>
      <c r="B2" s="115" t="s">
        <v>23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5">
      <c r="A3" s="5"/>
      <c r="B3" s="6" t="s">
        <v>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4"/>
    </row>
    <row r="4" spans="1:15" ht="30">
      <c r="A4" s="91"/>
      <c r="B4" s="88" t="s">
        <v>4</v>
      </c>
      <c r="C4" s="132" t="s">
        <v>5</v>
      </c>
      <c r="D4" s="132"/>
      <c r="E4" s="88" t="s">
        <v>6</v>
      </c>
      <c r="F4" s="88" t="s">
        <v>7</v>
      </c>
      <c r="G4" s="88" t="s">
        <v>8</v>
      </c>
      <c r="H4" s="89" t="s">
        <v>25</v>
      </c>
      <c r="I4" s="89" t="s">
        <v>10</v>
      </c>
      <c r="J4" s="89" t="s">
        <v>11</v>
      </c>
      <c r="K4" s="88" t="s">
        <v>15</v>
      </c>
      <c r="L4" s="133" t="s">
        <v>26</v>
      </c>
      <c r="M4" s="134"/>
      <c r="N4" s="133" t="s">
        <v>27</v>
      </c>
      <c r="O4" s="134"/>
    </row>
    <row r="5" spans="1:15">
      <c r="A5" s="10"/>
      <c r="B5" s="101"/>
      <c r="C5" s="102"/>
      <c r="D5" s="102"/>
      <c r="E5" s="102"/>
      <c r="F5" s="102"/>
      <c r="G5" s="102"/>
      <c r="H5" s="102"/>
      <c r="I5" s="102"/>
      <c r="J5" s="102"/>
      <c r="K5" s="103"/>
      <c r="L5" s="3" t="s">
        <v>28</v>
      </c>
      <c r="M5" s="3" t="s">
        <v>29</v>
      </c>
      <c r="N5" s="3" t="s">
        <v>28</v>
      </c>
      <c r="O5" s="3" t="s">
        <v>29</v>
      </c>
    </row>
    <row r="6" spans="1:15" s="1" customFormat="1" ht="15" customHeight="1">
      <c r="A6" s="11">
        <v>1</v>
      </c>
      <c r="B6" s="90" t="str">
        <f>RUAS!B6</f>
        <v>ALFREDO DA LUZ</v>
      </c>
      <c r="C6" s="90" t="str">
        <f>[1]RUAS!C6</f>
        <v xml:space="preserve">PORTUGUAL </v>
      </c>
      <c r="D6" s="90" t="str">
        <f>[1]RUAS!D6</f>
        <v>ITALIA</v>
      </c>
      <c r="E6" s="90" t="str">
        <f>RUAS!E6</f>
        <v>N</v>
      </c>
      <c r="F6" s="90">
        <f>RUAS!F6</f>
        <v>122.5</v>
      </c>
      <c r="G6" s="90" t="str">
        <f>RUAS!G6</f>
        <v>8,23/6,30</v>
      </c>
      <c r="H6" s="90">
        <f>RUAS!H6</f>
        <v>0</v>
      </c>
      <c r="I6" s="90">
        <f>RUAS!I6</f>
        <v>883.23</v>
      </c>
      <c r="J6" s="90">
        <f>RUAS!J6</f>
        <v>883.23</v>
      </c>
      <c r="K6" s="90">
        <f>RUAS!N6</f>
        <v>113.05344000000001</v>
      </c>
      <c r="L6" s="15">
        <v>2.2000000000000002</v>
      </c>
      <c r="M6" s="15">
        <v>8</v>
      </c>
      <c r="N6" s="15"/>
      <c r="O6" s="15">
        <v>7.9</v>
      </c>
    </row>
    <row r="7" spans="1:15" s="1" customFormat="1" ht="15" customHeight="1">
      <c r="A7" s="11">
        <v>2</v>
      </c>
      <c r="B7" s="90" t="str">
        <f>RUAS!B7</f>
        <v>BRUNO STORCK</v>
      </c>
      <c r="C7" s="90" t="str">
        <f>[1]RUAS!C7</f>
        <v xml:space="preserve">PORTUGUAL </v>
      </c>
      <c r="D7" s="90" t="str">
        <f>[1]RUAS!D7</f>
        <v>ITALIA</v>
      </c>
      <c r="E7" s="90" t="str">
        <f>RUAS!E7</f>
        <v>N</v>
      </c>
      <c r="F7" s="90">
        <f>RUAS!F7</f>
        <v>128</v>
      </c>
      <c r="G7" s="90">
        <f>RUAS!G7</f>
        <v>7.43</v>
      </c>
      <c r="H7" s="90">
        <f>RUAS!H7</f>
        <v>0</v>
      </c>
      <c r="I7" s="90">
        <f>RUAS!I7</f>
        <v>951.04</v>
      </c>
      <c r="J7" s="90">
        <f>RUAS!J7</f>
        <v>951.04</v>
      </c>
      <c r="K7" s="90">
        <f>RUAS!N7</f>
        <v>121.73312</v>
      </c>
      <c r="L7" s="15">
        <v>2.2000000000000002</v>
      </c>
      <c r="M7" s="15">
        <v>8</v>
      </c>
      <c r="N7" s="15"/>
      <c r="O7" s="15">
        <v>7.9</v>
      </c>
    </row>
    <row r="8" spans="1:15" s="1" customFormat="1" ht="15" customHeight="1">
      <c r="A8" s="11">
        <v>3</v>
      </c>
      <c r="B8" s="90" t="str">
        <f>RUAS!B8</f>
        <v>VALDIR LEMOS DE CAMARGO</v>
      </c>
      <c r="C8" s="90" t="str">
        <f>[1]RUAS!C8</f>
        <v>ITALIA</v>
      </c>
      <c r="D8" s="90" t="str">
        <f>[1]RUAS!D8</f>
        <v>ALEMANHA</v>
      </c>
      <c r="E8" s="90" t="str">
        <f>RUAS!E8</f>
        <v>N</v>
      </c>
      <c r="F8" s="90">
        <f>RUAS!F8</f>
        <v>153.5</v>
      </c>
      <c r="G8" s="90">
        <f>RUAS!G8</f>
        <v>9.1</v>
      </c>
      <c r="H8" s="90">
        <f>RUAS!H8</f>
        <v>0</v>
      </c>
      <c r="I8" s="90">
        <f>RUAS!I8</f>
        <v>1396.85</v>
      </c>
      <c r="J8" s="90">
        <f>RUAS!J8</f>
        <v>1396.85</v>
      </c>
      <c r="K8" s="90">
        <f>RUAS!N8</f>
        <v>178.79680000000002</v>
      </c>
      <c r="L8" s="15">
        <v>2.2000000000000002</v>
      </c>
      <c r="M8" s="15">
        <v>8</v>
      </c>
      <c r="N8" s="15"/>
      <c r="O8" s="15">
        <v>7.9</v>
      </c>
    </row>
    <row r="9" spans="1:15" s="1" customFormat="1" ht="15" customHeight="1">
      <c r="A9" s="11">
        <v>4</v>
      </c>
      <c r="B9" s="90" t="str">
        <f>RUAS!B9</f>
        <v>HORTENCIO BAPTISTA DOS SANTOS</v>
      </c>
      <c r="C9" s="90" t="str">
        <f>[1]RUAS!C9</f>
        <v xml:space="preserve">PORTUGUAL </v>
      </c>
      <c r="D9" s="90" t="str">
        <f>[1]RUAS!D9</f>
        <v>ITALIA</v>
      </c>
      <c r="E9" s="90" t="str">
        <f>RUAS!E9</f>
        <v>N</v>
      </c>
      <c r="F9" s="90">
        <f>RUAS!F9</f>
        <v>428</v>
      </c>
      <c r="G9" s="90">
        <f>RUAS!G9</f>
        <v>9</v>
      </c>
      <c r="H9" s="90">
        <f>RUAS!H9</f>
        <v>0</v>
      </c>
      <c r="I9" s="90">
        <f>RUAS!I9</f>
        <v>3852</v>
      </c>
      <c r="J9" s="90">
        <f>RUAS!J9</f>
        <v>3852</v>
      </c>
      <c r="K9" s="90">
        <f>RUAS!N9</f>
        <v>493.0560000000001</v>
      </c>
      <c r="L9" s="15">
        <v>2.2000000000000002</v>
      </c>
      <c r="M9" s="15">
        <v>8.5</v>
      </c>
      <c r="N9" s="15"/>
      <c r="O9" s="15">
        <v>8.3000000000000007</v>
      </c>
    </row>
    <row r="10" spans="1:15" s="1" customFormat="1" ht="15" customHeight="1">
      <c r="A10" s="11">
        <v>5</v>
      </c>
      <c r="B10" s="90" t="str">
        <f>RUAS!B10</f>
        <v>WENZEL RULF</v>
      </c>
      <c r="C10" s="90" t="str">
        <f>[1]RUAS!C10</f>
        <v>POLONIA</v>
      </c>
      <c r="D10" s="90" t="str">
        <f>[1]RUAS!D10</f>
        <v>FINAL DO TERRENO DA ULTIMA CASA</v>
      </c>
      <c r="E10" s="90" t="str">
        <f>RUAS!E10</f>
        <v>N</v>
      </c>
      <c r="F10" s="90">
        <f>RUAS!F10</f>
        <v>414.3</v>
      </c>
      <c r="G10" s="90" t="str">
        <f>RUAS!G10</f>
        <v>Conf. projeto</v>
      </c>
      <c r="H10" s="90">
        <f>RUAS!H10</f>
        <v>0</v>
      </c>
      <c r="I10" s="90">
        <f>RUAS!I10</f>
        <v>3862.85</v>
      </c>
      <c r="J10" s="90">
        <f>RUAS!J10</f>
        <v>3862.85</v>
      </c>
      <c r="K10" s="90">
        <f>RUAS!N10</f>
        <v>494.44480000000004</v>
      </c>
      <c r="L10" s="15">
        <v>2.2000000000000002</v>
      </c>
      <c r="M10" s="15">
        <v>8</v>
      </c>
      <c r="N10" s="15"/>
      <c r="O10" s="15">
        <v>7.9</v>
      </c>
    </row>
    <row r="11" spans="1:15" s="1" customFormat="1" ht="15" customHeight="1">
      <c r="A11" s="11">
        <v>6</v>
      </c>
      <c r="B11" s="90" t="str">
        <f>RUAS!B13</f>
        <v>CICLOVIA</v>
      </c>
      <c r="C11" s="90" t="str">
        <f>[1]RUAS!C11</f>
        <v xml:space="preserve">JOSÉ KRETSCHEK </v>
      </c>
      <c r="D11" s="90" t="str">
        <f>[1]RUAS!D11</f>
        <v>ABDALA A. DOMINGOS</v>
      </c>
      <c r="E11" s="90" t="str">
        <f>RUAS!E13</f>
        <v>N</v>
      </c>
      <c r="F11" s="90">
        <f>RUAS!F13</f>
        <v>120.7</v>
      </c>
      <c r="G11" s="90">
        <f>RUAS!G13</f>
        <v>4.4000000000000004</v>
      </c>
      <c r="H11" s="90">
        <f>RUAS!H13</f>
        <v>0</v>
      </c>
      <c r="I11" s="90">
        <f>RUAS!I13</f>
        <v>531.08000000000004</v>
      </c>
      <c r="J11" s="90">
        <f>RUAS!J13</f>
        <v>531.08000000000004</v>
      </c>
      <c r="K11" s="90">
        <f>RUAS!N13</f>
        <v>54.382592000000002</v>
      </c>
      <c r="L11" s="15">
        <v>2.2000000000000002</v>
      </c>
      <c r="M11" s="15">
        <v>4.5999999999999996</v>
      </c>
      <c r="N11" s="15"/>
      <c r="O11" s="73">
        <v>3.5</v>
      </c>
    </row>
    <row r="12" spans="1:15" s="1" customFormat="1" ht="15" customHeight="1">
      <c r="A12" s="11">
        <v>7</v>
      </c>
      <c r="B12" s="90" t="str">
        <f>RUAS!B14</f>
        <v>CICLOVIA</v>
      </c>
      <c r="C12" s="90">
        <f>[1]RUAS!C12</f>
        <v>0</v>
      </c>
      <c r="D12" s="90">
        <f>[1]RUAS!D12</f>
        <v>0</v>
      </c>
      <c r="E12" s="90" t="str">
        <f>RUAS!E14</f>
        <v>N</v>
      </c>
      <c r="F12" s="90">
        <f>RUAS!F14</f>
        <v>574.29999999999995</v>
      </c>
      <c r="G12" s="90">
        <f>RUAS!G14</f>
        <v>4.4000000000000004</v>
      </c>
      <c r="H12" s="90">
        <f>RUAS!H14</f>
        <v>65</v>
      </c>
      <c r="I12" s="90">
        <f>RUAS!I14</f>
        <v>2526.92</v>
      </c>
      <c r="J12" s="90">
        <f>RUAS!J14</f>
        <v>2591.92</v>
      </c>
      <c r="K12" s="90">
        <f>RUAS!N14</f>
        <v>265.41260799999998</v>
      </c>
      <c r="L12" s="15">
        <v>2.2000000000000002</v>
      </c>
      <c r="M12" s="15">
        <v>4.3</v>
      </c>
      <c r="N12" s="15"/>
      <c r="O12" s="15">
        <v>3</v>
      </c>
    </row>
    <row r="13" spans="1:15" s="1" customFormat="1" ht="15" customHeight="1">
      <c r="A13" s="11">
        <v>8</v>
      </c>
      <c r="B13" s="90" t="str">
        <f>RUAS!B15</f>
        <v>JOSÉ KRETSCHEK</v>
      </c>
      <c r="C13" s="90" t="str">
        <f>[1]RUAS!C15</f>
        <v>PRUDENTE DE MORAES</v>
      </c>
      <c r="D13" s="90" t="str">
        <f>[1]RUAS!D15</f>
        <v>TRECHO RUIM</v>
      </c>
      <c r="E13" s="90" t="str">
        <f>RUAS!E15</f>
        <v>N</v>
      </c>
      <c r="F13" s="90" t="str">
        <f>RUAS!F15</f>
        <v>Conf. Projeto</v>
      </c>
      <c r="G13" s="90" t="str">
        <f>RUAS!G15</f>
        <v>9*</v>
      </c>
      <c r="H13" s="90">
        <f>RUAS!H15</f>
        <v>0</v>
      </c>
      <c r="I13" s="90">
        <f>RUAS!I15</f>
        <v>2018.02</v>
      </c>
      <c r="J13" s="90">
        <f>RUAS!J15</f>
        <v>2018.02</v>
      </c>
      <c r="K13" s="90">
        <f>RUAS!N15</f>
        <v>206.64524800000001</v>
      </c>
      <c r="L13" s="15">
        <v>2.2000000000000002</v>
      </c>
      <c r="M13" s="15">
        <v>4.4000000000000004</v>
      </c>
      <c r="N13" s="15"/>
      <c r="O13" s="15">
        <v>3.2</v>
      </c>
    </row>
    <row r="14" spans="1:15" s="1" customFormat="1" ht="15" customHeight="1">
      <c r="A14" s="11">
        <v>9</v>
      </c>
      <c r="B14" s="90" t="str">
        <f>RUAS!B16</f>
        <v>SECONDO ELESEO BERTOLUZZI</v>
      </c>
      <c r="C14" s="90" t="str">
        <f>[1]RUAS!C16</f>
        <v xml:space="preserve">FREI ROGERIO </v>
      </c>
      <c r="D14" s="90" t="str">
        <f>[1]RUAS!D16</f>
        <v>84 METROS DA ESQUINA</v>
      </c>
      <c r="E14" s="90" t="str">
        <f>RUAS!E16</f>
        <v>N</v>
      </c>
      <c r="F14" s="90">
        <f>RUAS!F16</f>
        <v>63.6</v>
      </c>
      <c r="G14" s="90">
        <f>RUAS!G16</f>
        <v>8.6</v>
      </c>
      <c r="H14" s="90">
        <f>RUAS!H16</f>
        <v>24.6</v>
      </c>
      <c r="I14" s="90">
        <f>RUAS!I16</f>
        <v>546.96</v>
      </c>
      <c r="J14" s="90">
        <f>RUAS!J16</f>
        <v>571.56000000000006</v>
      </c>
      <c r="K14" s="90">
        <f>RUAS!N16</f>
        <v>58.527744000000013</v>
      </c>
      <c r="L14" s="15">
        <v>2.2000000000000002</v>
      </c>
      <c r="M14" s="15">
        <v>4.8</v>
      </c>
      <c r="N14" s="15"/>
      <c r="O14" s="73">
        <v>3.6</v>
      </c>
    </row>
    <row r="15" spans="1:15" s="1" customFormat="1" ht="15" customHeight="1">
      <c r="A15" s="11">
        <v>10</v>
      </c>
      <c r="B15" s="90" t="str">
        <f>RUAS!B19</f>
        <v>ADRIANO SCHOR</v>
      </c>
      <c r="C15" s="90" t="str">
        <f>[1]RUAS!C17</f>
        <v>SETE DE SETEMBRO</v>
      </c>
      <c r="D15" s="90" t="str">
        <f>[1]RUAS!D17</f>
        <v>GENERAL BORMANN</v>
      </c>
      <c r="E15" s="90" t="str">
        <f>RUAS!E19</f>
        <v>N</v>
      </c>
      <c r="F15" s="90">
        <f>RUAS!F19</f>
        <v>32.880000000000003</v>
      </c>
      <c r="G15" s="90">
        <f>RUAS!G19</f>
        <v>6</v>
      </c>
      <c r="H15" s="90">
        <f>RUAS!H19</f>
        <v>0</v>
      </c>
      <c r="I15" s="90">
        <f>RUAS!I19</f>
        <v>197.28000000000003</v>
      </c>
      <c r="J15" s="90">
        <f>RUAS!J19</f>
        <v>197.28000000000003</v>
      </c>
      <c r="K15" s="90">
        <f>RUAS!N19</f>
        <v>20.201472000000003</v>
      </c>
      <c r="L15" s="15">
        <v>2.2000000000000002</v>
      </c>
      <c r="M15" s="15">
        <v>6.1</v>
      </c>
      <c r="N15" s="15"/>
      <c r="O15" s="15">
        <v>4.8</v>
      </c>
    </row>
    <row r="16" spans="1:15" s="1" customFormat="1" ht="15" customHeight="1">
      <c r="A16" s="11">
        <v>11</v>
      </c>
      <c r="B16" s="90" t="str">
        <f>RUAS!B20</f>
        <v>ENIO G. NOGARA</v>
      </c>
      <c r="C16" s="90" t="str">
        <f>[1]RUAS!C18</f>
        <v>SETE DE SETEMBRO</v>
      </c>
      <c r="D16" s="90" t="str">
        <f>[1]RUAS!D18</f>
        <v>GENERAL BORMANN</v>
      </c>
      <c r="E16" s="90" t="str">
        <f>RUAS!E20</f>
        <v>N</v>
      </c>
      <c r="F16" s="90">
        <f>RUAS!F20</f>
        <v>65.239999999999995</v>
      </c>
      <c r="G16" s="90">
        <f>RUAS!G20</f>
        <v>6.95</v>
      </c>
      <c r="H16" s="90">
        <f>RUAS!H20</f>
        <v>0</v>
      </c>
      <c r="I16" s="90">
        <f>RUAS!I20</f>
        <v>453.41799999999995</v>
      </c>
      <c r="J16" s="90">
        <f>RUAS!J20</f>
        <v>453.41799999999995</v>
      </c>
      <c r="K16" s="90">
        <f>RUAS!N20</f>
        <v>46.430003199999994</v>
      </c>
      <c r="L16" s="15">
        <v>2.2000000000000002</v>
      </c>
      <c r="M16" s="15">
        <v>6</v>
      </c>
      <c r="N16" s="15"/>
      <c r="O16" s="15">
        <v>4.5999999999999996</v>
      </c>
    </row>
    <row r="17" spans="1:19" s="1" customFormat="1" ht="15" customHeight="1">
      <c r="A17" s="11">
        <v>12</v>
      </c>
      <c r="B17" s="90" t="str">
        <f>RUAS!B21</f>
        <v>FELICIO STROBINO</v>
      </c>
      <c r="C17" s="90" t="str">
        <f>[1]RUAS!C19</f>
        <v>GENERAL BORMANN</v>
      </c>
      <c r="D17" s="90" t="str">
        <f>[1]RUAS!D19</f>
        <v>13 DE MAIO</v>
      </c>
      <c r="E17" s="90" t="str">
        <f>RUAS!E21</f>
        <v>N</v>
      </c>
      <c r="F17" s="90">
        <f>RUAS!F21</f>
        <v>60.4</v>
      </c>
      <c r="G17" s="90">
        <f>RUAS!G21</f>
        <v>7.3</v>
      </c>
      <c r="H17" s="90">
        <f>RUAS!H21</f>
        <v>0</v>
      </c>
      <c r="I17" s="90">
        <f>RUAS!I21</f>
        <v>440.91999999999996</v>
      </c>
      <c r="J17" s="90">
        <f>RUAS!J21</f>
        <v>440.91999999999996</v>
      </c>
      <c r="K17" s="90">
        <f>RUAS!N21</f>
        <v>45.150207999999992</v>
      </c>
      <c r="L17" s="15">
        <v>2.2000000000000002</v>
      </c>
      <c r="M17" s="15">
        <v>6.2</v>
      </c>
      <c r="N17" s="15"/>
      <c r="O17" s="15">
        <v>5</v>
      </c>
      <c r="Q17" s="15"/>
      <c r="R17" s="15"/>
    </row>
    <row r="18" spans="1:19" s="1" customFormat="1" ht="15" customHeight="1">
      <c r="A18" s="11">
        <v>13</v>
      </c>
      <c r="B18" s="90" t="str">
        <f>RUAS!B22</f>
        <v>GUMERCINDO ZAMBONI</v>
      </c>
      <c r="C18" s="90" t="str">
        <f>[1]RUAS!C20</f>
        <v xml:space="preserve">JOSÉ BOIUTEX </v>
      </c>
      <c r="D18" s="90" t="str">
        <f>[1]RUAS!D20</f>
        <v xml:space="preserve">FINAL DO GINASIO </v>
      </c>
      <c r="E18" s="90" t="str">
        <f>RUAS!E22</f>
        <v>N</v>
      </c>
      <c r="F18" s="90">
        <f>RUAS!F22</f>
        <v>60.7</v>
      </c>
      <c r="G18" s="90">
        <f>RUAS!G22</f>
        <v>6.85</v>
      </c>
      <c r="H18" s="90">
        <f>RUAS!H22</f>
        <v>0</v>
      </c>
      <c r="I18" s="90">
        <f>RUAS!I22</f>
        <v>415.79500000000002</v>
      </c>
      <c r="J18" s="90">
        <f>RUAS!J22</f>
        <v>415.79500000000002</v>
      </c>
      <c r="K18" s="90">
        <f>RUAS!N22</f>
        <v>42.577408000000005</v>
      </c>
      <c r="L18" s="15">
        <v>2.2000000000000002</v>
      </c>
      <c r="M18" s="15">
        <v>5.9</v>
      </c>
      <c r="N18" s="15"/>
      <c r="O18" s="15">
        <v>4.7</v>
      </c>
    </row>
    <row r="19" spans="1:19" s="1" customFormat="1" ht="15" customHeight="1">
      <c r="A19" s="11">
        <v>14</v>
      </c>
      <c r="B19" s="90" t="str">
        <f>RUAS!B23</f>
        <v>IPIRANGA</v>
      </c>
      <c r="C19" s="90" t="str">
        <f>[1]RUAS!C21</f>
        <v>ESQUINA COM JOSÉ BOIUTEX</v>
      </c>
      <c r="D19" s="90">
        <f>[1]RUAS!D21</f>
        <v>0</v>
      </c>
      <c r="E19" s="90" t="str">
        <f>RUAS!E23</f>
        <v>N</v>
      </c>
      <c r="F19" s="90">
        <f>RUAS!F23</f>
        <v>53.75</v>
      </c>
      <c r="G19" s="90">
        <f>RUAS!G23</f>
        <v>7.05</v>
      </c>
      <c r="H19" s="90">
        <f>RUAS!H23</f>
        <v>0</v>
      </c>
      <c r="I19" s="90">
        <f>RUAS!I23</f>
        <v>378.9375</v>
      </c>
      <c r="J19" s="90">
        <f>RUAS!J23</f>
        <v>378.9375</v>
      </c>
      <c r="K19" s="90">
        <f>RUAS!N23</f>
        <v>38.803200000000004</v>
      </c>
      <c r="L19" s="15">
        <v>2.2000000000000002</v>
      </c>
      <c r="M19" s="15">
        <v>6.1</v>
      </c>
      <c r="N19" s="15"/>
      <c r="O19" s="15">
        <v>4.9000000000000004</v>
      </c>
    </row>
    <row r="20" spans="1:19" s="1" customFormat="1" ht="15" customHeight="1">
      <c r="A20" s="11">
        <v>15</v>
      </c>
      <c r="B20" s="90" t="str">
        <f>RUAS!B24</f>
        <v>PADRE JEROSLAU SUSA</v>
      </c>
      <c r="C20" s="90" t="str">
        <f>[1]RUAS!C22</f>
        <v xml:space="preserve">FREI ROGERIO </v>
      </c>
      <c r="D20" s="90" t="str">
        <f>[1]RUAS!D22</f>
        <v>JOSÉ BOITEUX</v>
      </c>
      <c r="E20" s="90" t="str">
        <f>RUAS!E24</f>
        <v>N</v>
      </c>
      <c r="F20" s="90">
        <f>RUAS!F24</f>
        <v>59.53</v>
      </c>
      <c r="G20" s="90">
        <f>RUAS!G24</f>
        <v>7.6</v>
      </c>
      <c r="H20" s="90">
        <f>RUAS!H24</f>
        <v>0</v>
      </c>
      <c r="I20" s="90">
        <f>RUAS!I24</f>
        <v>452.428</v>
      </c>
      <c r="J20" s="90">
        <f>RUAS!J24</f>
        <v>452.428</v>
      </c>
      <c r="K20" s="90">
        <f>RUAS!N24</f>
        <v>46.3286272</v>
      </c>
      <c r="L20" s="15">
        <v>2.2000000000000002</v>
      </c>
      <c r="M20" s="15">
        <v>6</v>
      </c>
      <c r="N20" s="15"/>
      <c r="O20" s="15">
        <v>4.8</v>
      </c>
    </row>
    <row r="21" spans="1:19" s="15" customFormat="1" ht="15" customHeight="1">
      <c r="A21" s="11">
        <v>16</v>
      </c>
      <c r="B21" s="90" t="str">
        <f>RUAS!B25</f>
        <v>JOÃO CODAGNONE</v>
      </c>
      <c r="C21" s="90" t="str">
        <f>[1]RUAS!C25</f>
        <v>AV. JOÃO PESSOA</v>
      </c>
      <c r="D21" s="90" t="str">
        <f>[1]RUAS!D25</f>
        <v>TEODORO KROETZ</v>
      </c>
      <c r="E21" s="90" t="str">
        <f>RUAS!E25</f>
        <v>N</v>
      </c>
      <c r="F21" s="90">
        <f>RUAS!F25</f>
        <v>119.35</v>
      </c>
      <c r="G21" s="90">
        <f>RUAS!G25</f>
        <v>6.91</v>
      </c>
      <c r="H21" s="90">
        <f>RUAS!H25</f>
        <v>0</v>
      </c>
      <c r="I21" s="90">
        <f>RUAS!I25</f>
        <v>824.70849999999996</v>
      </c>
      <c r="J21" s="90">
        <f>RUAS!J25</f>
        <v>824.70849999999996</v>
      </c>
      <c r="K21" s="90">
        <f>RUAS!N25</f>
        <v>84.450150399999998</v>
      </c>
      <c r="L21" s="15">
        <v>2.2000000000000002</v>
      </c>
      <c r="M21" s="15">
        <v>6.1</v>
      </c>
      <c r="O21" s="15">
        <v>4.9000000000000004</v>
      </c>
      <c r="Q21"/>
      <c r="R21"/>
      <c r="S21" s="1"/>
    </row>
    <row r="22" spans="1:19" s="1" customFormat="1" ht="15" customHeight="1">
      <c r="A22" s="11">
        <v>17</v>
      </c>
      <c r="B22" s="90" t="str">
        <f>RUAS!B26</f>
        <v>TANCREDO ALMEIDA NEVES</v>
      </c>
      <c r="C22" s="90" t="str">
        <f>[1]RUAS!C26</f>
        <v>CONS. MAFRA</v>
      </c>
      <c r="D22" s="90" t="str">
        <f>[1]RUAS!D26</f>
        <v>VOLUNTARIOS DA PATRIA</v>
      </c>
      <c r="E22" s="90" t="str">
        <f>RUAS!E26</f>
        <v>N</v>
      </c>
      <c r="F22" s="90">
        <f>RUAS!F26</f>
        <v>124.81</v>
      </c>
      <c r="G22" s="90">
        <f>RUAS!G26</f>
        <v>6.9</v>
      </c>
      <c r="H22" s="90">
        <f>RUAS!H26</f>
        <v>0</v>
      </c>
      <c r="I22" s="90">
        <f>RUAS!I26</f>
        <v>861.18900000000008</v>
      </c>
      <c r="J22" s="90">
        <f>RUAS!J26</f>
        <v>861.18900000000008</v>
      </c>
      <c r="K22" s="90">
        <f>RUAS!N26</f>
        <v>88.185753600000012</v>
      </c>
      <c r="L22" s="15">
        <v>2.2000000000000002</v>
      </c>
      <c r="M22" s="15">
        <v>6.2</v>
      </c>
      <c r="N22" s="15"/>
      <c r="O22" s="15">
        <v>5</v>
      </c>
      <c r="Q22"/>
      <c r="R22"/>
    </row>
    <row r="23" spans="1:19" s="1" customFormat="1" ht="15" customHeight="1">
      <c r="A23" s="11">
        <v>18</v>
      </c>
      <c r="B23" s="90" t="str">
        <f>RUAS!B29</f>
        <v>AV. JOÃO PESSOA</v>
      </c>
      <c r="C23" s="90" t="str">
        <f>[1]RUAS!C29</f>
        <v>WILLIBALDO J MULLER</v>
      </c>
      <c r="D23" s="90" t="str">
        <f>[1]RUAS!D29</f>
        <v>HELMUTH MULLER</v>
      </c>
      <c r="E23" s="90" t="str">
        <f>RUAS!E29</f>
        <v>R</v>
      </c>
      <c r="F23" s="90">
        <f>RUAS!F29</f>
        <v>21</v>
      </c>
      <c r="G23" s="90">
        <f>RUAS!G29</f>
        <v>11.3</v>
      </c>
      <c r="H23" s="90">
        <f>RUAS!H29</f>
        <v>0</v>
      </c>
      <c r="I23" s="90">
        <f>RUAS!I29</f>
        <v>237.3</v>
      </c>
      <c r="J23" s="90">
        <f>RUAS!J29</f>
        <v>237.3</v>
      </c>
      <c r="K23" s="90">
        <f>RUAS!N29</f>
        <v>42.524160000000002</v>
      </c>
      <c r="L23" s="15">
        <v>2.2000000000000002</v>
      </c>
      <c r="M23" s="15">
        <v>6</v>
      </c>
      <c r="N23" s="15"/>
      <c r="O23" s="15">
        <v>0.65</v>
      </c>
      <c r="Q23"/>
      <c r="R23"/>
    </row>
    <row r="24" spans="1:19" s="1" customFormat="1" ht="15" customHeight="1">
      <c r="A24" s="11">
        <v>19</v>
      </c>
      <c r="B24" s="90" t="str">
        <f>RUAS!B30</f>
        <v>CORONEL BELARMINO</v>
      </c>
      <c r="C24" s="90" t="str">
        <f>[1]RUAS!C30</f>
        <v>HELMUTH MULLER</v>
      </c>
      <c r="D24" s="90" t="str">
        <f>[1]RUAS!D30</f>
        <v>INICIO DA BASE</v>
      </c>
      <c r="E24" s="90" t="str">
        <f>RUAS!E30</f>
        <v>R</v>
      </c>
      <c r="F24" s="90">
        <f>RUAS!F30</f>
        <v>210.93</v>
      </c>
      <c r="G24" s="90">
        <f>RUAS!G30</f>
        <v>9</v>
      </c>
      <c r="H24" s="90">
        <f>RUAS!H30</f>
        <v>0</v>
      </c>
      <c r="I24" s="90">
        <f>RUAS!I30</f>
        <v>1898.3700000000001</v>
      </c>
      <c r="J24" s="90">
        <f>RUAS!J30</f>
        <v>1898.3700000000001</v>
      </c>
      <c r="K24" s="90">
        <f>RUAS!N30</f>
        <v>340.18790400000006</v>
      </c>
      <c r="L24" s="15">
        <v>2.2000000000000002</v>
      </c>
      <c r="M24" s="15">
        <v>5.2</v>
      </c>
      <c r="N24" s="15"/>
      <c r="O24" s="15">
        <v>2.6</v>
      </c>
      <c r="Q24"/>
      <c r="R24"/>
    </row>
    <row r="25" spans="1:19" ht="15" customHeight="1">
      <c r="A25" s="11">
        <v>20</v>
      </c>
      <c r="B25" s="90" t="str">
        <f>RUAS!B31</f>
        <v>13 DE MAIO</v>
      </c>
      <c r="C25" s="90" t="str">
        <f>[1]RUAS!C31</f>
        <v>INICIO DA BASE</v>
      </c>
      <c r="D25" s="90" t="str">
        <f>[1]RUAS!D31</f>
        <v>FINAL</v>
      </c>
      <c r="E25" s="90" t="str">
        <f>RUAS!E31</f>
        <v>R</v>
      </c>
      <c r="F25" s="90">
        <f>RUAS!F31</f>
        <v>87.22</v>
      </c>
      <c r="G25" s="90">
        <f>RUAS!G31</f>
        <v>8.4499999999999993</v>
      </c>
      <c r="H25" s="90">
        <f>RUAS!H31</f>
        <v>0</v>
      </c>
      <c r="I25" s="90">
        <f>RUAS!I31</f>
        <v>737.0089999999999</v>
      </c>
      <c r="J25" s="90">
        <f>RUAS!J31</f>
        <v>737.0089999999999</v>
      </c>
      <c r="K25" s="90">
        <f>RUAS!N31</f>
        <v>132.07201279999998</v>
      </c>
      <c r="L25" s="15">
        <v>2.2000000000000002</v>
      </c>
      <c r="M25" s="15">
        <v>5.2</v>
      </c>
      <c r="N25" s="15"/>
      <c r="O25" s="15">
        <v>2.8</v>
      </c>
      <c r="P25" s="1"/>
      <c r="S25" s="1"/>
    </row>
    <row r="26" spans="1:19" ht="15" customHeight="1">
      <c r="A26" s="11">
        <v>21</v>
      </c>
      <c r="B26" s="90" t="str">
        <f>RUAS!B32</f>
        <v>SANTOS DUMONT</v>
      </c>
      <c r="C26" s="90" t="str">
        <f>[1]RUAS!C34</f>
        <v>SC 135</v>
      </c>
      <c r="D26" s="90" t="str">
        <f>[1]RUAS!D34</f>
        <v>79 METROS DEPOIS DO PORTAL</v>
      </c>
      <c r="E26" s="90" t="str">
        <f>RUAS!E32</f>
        <v>R</v>
      </c>
      <c r="F26" s="90">
        <f>RUAS!F32</f>
        <v>112</v>
      </c>
      <c r="G26" s="90" t="str">
        <f>RUAS!G32</f>
        <v>10,17*</v>
      </c>
      <c r="H26" s="90">
        <f>RUAS!H32</f>
        <v>0</v>
      </c>
      <c r="I26" s="90">
        <f>RUAS!I32</f>
        <v>1137.5</v>
      </c>
      <c r="J26" s="90">
        <f>RUAS!J32</f>
        <v>1137.5</v>
      </c>
      <c r="K26" s="90">
        <f>RUAS!N32</f>
        <v>203.84</v>
      </c>
      <c r="L26" s="15">
        <v>2.2000000000000002</v>
      </c>
      <c r="M26" s="15">
        <v>4.2</v>
      </c>
      <c r="N26" s="15"/>
      <c r="O26" s="15">
        <v>1.5</v>
      </c>
      <c r="S26" s="1"/>
    </row>
    <row r="27" spans="1:19" ht="15" customHeight="1">
      <c r="A27" s="11">
        <v>22</v>
      </c>
      <c r="B27" s="90" t="str">
        <f>RUAS!B33</f>
        <v>MATOS COSTAS</v>
      </c>
      <c r="C27" s="90" t="str">
        <f>[1]RUAS!C73</f>
        <v>JAIME MATZEMBACHER</v>
      </c>
      <c r="D27" s="90" t="str">
        <f>[1]RUAS!D73</f>
        <v>VEREADOR OTTO EGGERS</v>
      </c>
      <c r="E27" s="90" t="str">
        <f>RUAS!E33</f>
        <v>R</v>
      </c>
      <c r="F27" s="90">
        <f>RUAS!F33</f>
        <v>76.5</v>
      </c>
      <c r="G27" s="90">
        <f>RUAS!G33</f>
        <v>10.9</v>
      </c>
      <c r="H27" s="90">
        <f>RUAS!H33</f>
        <v>386</v>
      </c>
      <c r="I27" s="90">
        <f>RUAS!I33</f>
        <v>833.85</v>
      </c>
      <c r="J27" s="90">
        <f>RUAS!J33</f>
        <v>1219.8499999999999</v>
      </c>
      <c r="K27" s="90">
        <f>RUAS!N33</f>
        <v>218.59711999999999</v>
      </c>
      <c r="L27" s="15">
        <v>2.2000000000000002</v>
      </c>
      <c r="M27" s="15">
        <v>4.0999999999999996</v>
      </c>
      <c r="N27" s="15"/>
      <c r="O27" s="15">
        <v>1.4</v>
      </c>
      <c r="S27" s="1"/>
    </row>
    <row r="28" spans="1:19" ht="15" customHeight="1">
      <c r="A28" s="11" t="s">
        <v>108</v>
      </c>
      <c r="B28" s="90" t="str">
        <f>RUAS!B34</f>
        <v>LOMBADA MATOS COSTA</v>
      </c>
      <c r="C28" s="90" t="str">
        <f>[1]RUAS!C74</f>
        <v>VEREADOR OTTO EGGERS</v>
      </c>
      <c r="D28" s="90" t="str">
        <f>[1]RUAS!D74</f>
        <v xml:space="preserve">MARECHAL DEODORO DA FONSECA </v>
      </c>
      <c r="E28" s="90" t="str">
        <f>RUAS!E34</f>
        <v>R</v>
      </c>
      <c r="F28" s="90">
        <f>RUAS!F34</f>
        <v>10.6</v>
      </c>
      <c r="G28" s="90">
        <f>RUAS!G34</f>
        <v>3.7</v>
      </c>
      <c r="H28" s="90">
        <f>RUAS!H34</f>
        <v>0</v>
      </c>
      <c r="I28" s="90">
        <f>RUAS!I34</f>
        <v>0</v>
      </c>
      <c r="J28" s="90">
        <f>RUAS!J34</f>
        <v>39.22</v>
      </c>
      <c r="K28" s="90">
        <f>RUAS!N34</f>
        <v>5.0175999999999998</v>
      </c>
      <c r="L28" s="15">
        <v>2.2000000000000002</v>
      </c>
      <c r="M28" s="15">
        <v>4.3</v>
      </c>
      <c r="N28" s="15"/>
      <c r="O28" s="15">
        <v>1</v>
      </c>
      <c r="S28" s="1"/>
    </row>
    <row r="29" spans="1:19" ht="15" customHeight="1">
      <c r="A29" s="11">
        <v>23</v>
      </c>
      <c r="B29" s="90" t="str">
        <f>RUAS!B35</f>
        <v>RUAS SETE DE SETEMBRO</v>
      </c>
      <c r="C29" s="90" t="str">
        <f>[1]RUAS!C75</f>
        <v>HUMBERTO ZARANTONIELO</v>
      </c>
      <c r="D29" s="90" t="str">
        <f>[1]RUAS!D75</f>
        <v>ABEL BERTOLON</v>
      </c>
      <c r="E29" s="90" t="str">
        <f>RUAS!E35</f>
        <v>R</v>
      </c>
      <c r="F29" s="90">
        <f>RUAS!F35</f>
        <v>0</v>
      </c>
      <c r="G29" s="90">
        <f>RUAS!G35</f>
        <v>0</v>
      </c>
      <c r="H29" s="90">
        <f>RUAS!H35</f>
        <v>0</v>
      </c>
      <c r="I29" s="90">
        <f>RUAS!I35</f>
        <v>0</v>
      </c>
      <c r="J29" s="90">
        <f>RUAS!J35</f>
        <v>512.02</v>
      </c>
      <c r="K29" s="90">
        <f>RUAS!N35</f>
        <v>91.753983999999988</v>
      </c>
      <c r="L29" s="15">
        <v>2.2000000000000002</v>
      </c>
      <c r="M29" s="15">
        <v>5.8</v>
      </c>
      <c r="N29" s="15"/>
      <c r="O29" s="15">
        <v>2</v>
      </c>
      <c r="S29" s="1"/>
    </row>
    <row r="30" spans="1:19" ht="15" customHeight="1">
      <c r="A30" s="11">
        <v>24</v>
      </c>
      <c r="B30" s="90" t="str">
        <f>RUAS!B38</f>
        <v>ACESSO FUNDOS COLEGIO CID</v>
      </c>
      <c r="C30" s="90" t="str">
        <f>[1]RUAS!C37</f>
        <v>RODOLFO MATZEMBACHER</v>
      </c>
      <c r="D30" s="90" t="str">
        <f>[1]RUAS!D37</f>
        <v>FRANCISCO DE SOUZA BACELAR</v>
      </c>
      <c r="E30" s="90" t="str">
        <f>RUAS!E38</f>
        <v>R</v>
      </c>
      <c r="F30" s="90">
        <f>RUAS!F38</f>
        <v>5.5</v>
      </c>
      <c r="G30" s="90">
        <f>RUAS!G38</f>
        <v>46</v>
      </c>
      <c r="H30" s="90">
        <f>RUAS!H38</f>
        <v>27.16</v>
      </c>
      <c r="I30" s="90">
        <f>RUAS!I38</f>
        <v>253</v>
      </c>
      <c r="J30" s="90">
        <f>RUAS!J38</f>
        <v>280.16000000000003</v>
      </c>
      <c r="K30" s="90">
        <f>RUAS!N38</f>
        <v>50.204672000000002</v>
      </c>
      <c r="L30" s="15">
        <v>2.2000000000000002</v>
      </c>
      <c r="M30" s="15">
        <v>3.9</v>
      </c>
      <c r="N30" s="15"/>
      <c r="O30" s="15">
        <v>1.1000000000000001</v>
      </c>
      <c r="S30" s="1"/>
    </row>
    <row r="31" spans="1:19" ht="15" customHeight="1">
      <c r="A31" s="11">
        <v>25</v>
      </c>
      <c r="B31" s="90" t="str">
        <f>RUAS!B41</f>
        <v>CICLOFAIXA</v>
      </c>
      <c r="C31" s="90" t="str">
        <f>[1]RUAS!C46</f>
        <v>ANA DOMINGAS BABIRESKI</v>
      </c>
      <c r="D31" s="90" t="str">
        <f>[1]RUAS!D46</f>
        <v>EXPEDICIONARIO EDMUNDO ARRABAR</v>
      </c>
      <c r="E31" s="90" t="str">
        <f>RUAS!E41</f>
        <v>N</v>
      </c>
      <c r="F31" s="90">
        <f>RUAS!F41</f>
        <v>415.94</v>
      </c>
      <c r="G31" s="90">
        <f>RUAS!G41</f>
        <v>2.4</v>
      </c>
      <c r="H31" s="90">
        <f>RUAS!H41</f>
        <v>0</v>
      </c>
      <c r="I31" s="90">
        <f>RUAS!I41</f>
        <v>998.25599999999997</v>
      </c>
      <c r="J31" s="90">
        <f>RUAS!J41</f>
        <v>998.25599999999997</v>
      </c>
      <c r="K31" s="90">
        <f>RUAS!N41</f>
        <v>178.88747519999998</v>
      </c>
      <c r="L31" s="15">
        <v>2.2000000000000002</v>
      </c>
      <c r="M31" s="15">
        <v>31.5</v>
      </c>
      <c r="N31" s="15"/>
      <c r="O31" s="15">
        <v>29.9</v>
      </c>
      <c r="S31" s="1"/>
    </row>
    <row r="32" spans="1:19" ht="15" customHeight="1">
      <c r="A32" s="11" t="s">
        <v>132</v>
      </c>
      <c r="B32" s="90" t="str">
        <f>RUAS!B42</f>
        <v>CICLOFAIXA</v>
      </c>
      <c r="C32" s="90" t="str">
        <f>[1]RUAS!C47</f>
        <v>INTEIRA</v>
      </c>
      <c r="D32" s="90">
        <f>[1]RUAS!D47</f>
        <v>0</v>
      </c>
      <c r="E32" s="90" t="str">
        <f>RUAS!E42</f>
        <v>N</v>
      </c>
      <c r="F32" s="90">
        <f>RUAS!F42</f>
        <v>382.19</v>
      </c>
      <c r="G32" s="90">
        <f>RUAS!G42</f>
        <v>2.4</v>
      </c>
      <c r="H32" s="90">
        <f>RUAS!H42</f>
        <v>0</v>
      </c>
      <c r="I32" s="90">
        <f>RUAS!I42</f>
        <v>917.25599999999997</v>
      </c>
      <c r="J32" s="90">
        <f>RUAS!J42</f>
        <v>917.25599999999997</v>
      </c>
      <c r="K32" s="90">
        <f>RUAS!N42</f>
        <v>164.37227520000002</v>
      </c>
      <c r="L32" s="15">
        <v>2.2000000000000002</v>
      </c>
      <c r="M32" s="15">
        <v>32</v>
      </c>
      <c r="N32" s="15"/>
      <c r="O32" s="15">
        <v>29.5</v>
      </c>
      <c r="S32" s="1"/>
    </row>
    <row r="33" spans="1:19" ht="15" customHeight="1">
      <c r="A33" s="11">
        <v>26</v>
      </c>
      <c r="B33" s="90" t="str">
        <f>RUAS!B45</f>
        <v>ANTONIO DOMIT</v>
      </c>
      <c r="C33" s="90" t="str">
        <f>[1]RUAS!C47</f>
        <v>INTEIRA</v>
      </c>
      <c r="D33" s="90">
        <f>[1]RUAS!D47</f>
        <v>0</v>
      </c>
      <c r="E33" s="90" t="str">
        <f>RUAS!E45</f>
        <v>N</v>
      </c>
      <c r="F33" s="90">
        <f>RUAS!F45</f>
        <v>87.7</v>
      </c>
      <c r="G33" s="90">
        <f>RUAS!G45</f>
        <v>5.5</v>
      </c>
      <c r="H33" s="90">
        <f>RUAS!H45</f>
        <v>0</v>
      </c>
      <c r="I33" s="90">
        <f>RUAS!I45</f>
        <v>482.35</v>
      </c>
      <c r="J33" s="90">
        <f>RUAS!J45</f>
        <v>482.35</v>
      </c>
      <c r="K33" s="90">
        <f>RUAS!N45</f>
        <v>86.437119999999993</v>
      </c>
      <c r="L33" s="15">
        <v>2.2000000000000002</v>
      </c>
      <c r="M33" s="15">
        <v>0.85</v>
      </c>
      <c r="N33" s="15"/>
      <c r="O33" s="15">
        <v>3.1</v>
      </c>
      <c r="S33" s="1"/>
    </row>
    <row r="34" spans="1:19" ht="15" customHeight="1">
      <c r="A34" s="11">
        <v>27</v>
      </c>
      <c r="B34" s="90" t="str">
        <f>RUAS!B46</f>
        <v>SEBASTIANA PERREIRA</v>
      </c>
      <c r="C34" s="90" t="str">
        <f>[1]RUAS!C44</f>
        <v>AV. SANTA ROSA</v>
      </c>
      <c r="D34" s="90" t="str">
        <f>[1]RUAS!D44</f>
        <v>PROF. WEINAND</v>
      </c>
      <c r="E34" s="90" t="str">
        <f>RUAS!E46</f>
        <v>N</v>
      </c>
      <c r="F34" s="90">
        <f>RUAS!F46</f>
        <v>54</v>
      </c>
      <c r="G34" s="90">
        <f>RUAS!G46</f>
        <v>5</v>
      </c>
      <c r="H34" s="90">
        <f>RUAS!H46</f>
        <v>123.5</v>
      </c>
      <c r="I34" s="90">
        <f>RUAS!I46</f>
        <v>270</v>
      </c>
      <c r="J34" s="90">
        <f>RUAS!J46</f>
        <v>393.5</v>
      </c>
      <c r="K34" s="90">
        <f>RUAS!N46</f>
        <v>70.515200000000007</v>
      </c>
      <c r="L34" s="15">
        <v>2.2000000000000002</v>
      </c>
      <c r="M34" s="15">
        <v>0.9</v>
      </c>
      <c r="N34" s="15"/>
      <c r="O34" s="15">
        <v>3.1</v>
      </c>
      <c r="S34" s="1"/>
    </row>
    <row r="35" spans="1:19" ht="16.5" customHeight="1">
      <c r="A35" s="11">
        <v>28</v>
      </c>
      <c r="B35" s="90" t="str">
        <f>RUAS!B49</f>
        <v>AV. JOÃO PESSOA</v>
      </c>
      <c r="C35" s="90" t="str">
        <f>[1]RUAS!C45</f>
        <v>PROF WEINAND</v>
      </c>
      <c r="D35" s="90" t="str">
        <f>[1]RUAS!D45</f>
        <v>FINAL DO TERRENO DA ULTIMA CASA</v>
      </c>
      <c r="E35" s="90" t="str">
        <f>RUAS!E49</f>
        <v>R</v>
      </c>
      <c r="F35" s="90">
        <f>RUAS!F49</f>
        <v>0</v>
      </c>
      <c r="G35" s="90">
        <f>RUAS!G49</f>
        <v>0</v>
      </c>
      <c r="H35" s="90">
        <f>RUAS!H49</f>
        <v>0</v>
      </c>
      <c r="I35" s="90">
        <f>RUAS!I49</f>
        <v>5391.16</v>
      </c>
      <c r="J35" s="90">
        <f>RUAS!J49</f>
        <v>5391.16</v>
      </c>
      <c r="K35" s="100">
        <f>RUAS!N49</f>
        <v>966.09587199999999</v>
      </c>
      <c r="L35" s="15">
        <v>2.2000000000000002</v>
      </c>
      <c r="M35" s="15">
        <v>2.2000000000000002</v>
      </c>
      <c r="N35" s="15"/>
      <c r="O35" s="15">
        <v>1.6</v>
      </c>
      <c r="S35" s="1"/>
    </row>
    <row r="36" spans="1:19" ht="15" customHeight="1">
      <c r="A36" s="11">
        <v>29</v>
      </c>
      <c r="B36" s="90" t="str">
        <f>RUAS!B50</f>
        <v>AV. JOÃO PESSOA</v>
      </c>
      <c r="C36" s="90" t="str">
        <f>[1]RUAS!C46</f>
        <v>ANA DOMINGAS BABIRESKI</v>
      </c>
      <c r="D36" s="90" t="str">
        <f>[1]RUAS!D46</f>
        <v>EXPEDICIONARIO EDMUNDO ARRABAR</v>
      </c>
      <c r="E36" s="90" t="str">
        <f>RUAS!E50</f>
        <v>R</v>
      </c>
      <c r="F36" s="90">
        <f>RUAS!F50</f>
        <v>0</v>
      </c>
      <c r="G36" s="90">
        <f>RUAS!G50</f>
        <v>0</v>
      </c>
      <c r="H36" s="90">
        <f>RUAS!H50</f>
        <v>0</v>
      </c>
      <c r="I36" s="90">
        <f>RUAS!I50</f>
        <v>624.875</v>
      </c>
      <c r="J36" s="90">
        <f>RUAS!J50</f>
        <v>624.875</v>
      </c>
      <c r="K36" s="100">
        <f>RUAS!N50</f>
        <v>111.97760000000001</v>
      </c>
      <c r="L36" s="15">
        <v>2.2000000000000002</v>
      </c>
      <c r="M36" s="15">
        <v>2.6</v>
      </c>
      <c r="N36" s="15"/>
      <c r="O36" s="15">
        <v>1.9</v>
      </c>
      <c r="S36" s="1"/>
    </row>
    <row r="37" spans="1:19" ht="15" customHeight="1">
      <c r="A37" s="11">
        <v>30</v>
      </c>
      <c r="B37" s="90" t="str">
        <f>RUAS!B51</f>
        <v>RUA WENCESLAU BRAZ</v>
      </c>
      <c r="C37" s="90" t="str">
        <f>[1]RUAS!C47</f>
        <v>INTEIRA</v>
      </c>
      <c r="D37" s="90">
        <f>[1]RUAS!D47</f>
        <v>0</v>
      </c>
      <c r="E37" s="90" t="str">
        <f>RUAS!E51</f>
        <v>R</v>
      </c>
      <c r="F37" s="90">
        <f>RUAS!F51</f>
        <v>0</v>
      </c>
      <c r="G37" s="90">
        <f>RUAS!G51</f>
        <v>0</v>
      </c>
      <c r="H37" s="90">
        <f>RUAS!H51</f>
        <v>0</v>
      </c>
      <c r="I37" s="90">
        <f>RUAS!I51</f>
        <v>817.21</v>
      </c>
      <c r="J37" s="90">
        <f>RUAS!J51</f>
        <v>817.21</v>
      </c>
      <c r="K37" s="100">
        <f>RUAS!N51</f>
        <v>146.44403200000002</v>
      </c>
      <c r="L37" s="15">
        <v>2.2000000000000002</v>
      </c>
      <c r="M37" s="15">
        <v>2.5</v>
      </c>
      <c r="N37" s="15"/>
      <c r="O37" s="15">
        <v>2</v>
      </c>
      <c r="S37" s="1"/>
    </row>
    <row r="38" spans="1:19" ht="15" customHeight="1">
      <c r="A38" s="11">
        <v>31</v>
      </c>
      <c r="B38" s="90" t="str">
        <f>RUAS!B54</f>
        <v>FRANCISCO DE SOUZA BACELAR</v>
      </c>
      <c r="C38" s="90" t="str">
        <f>[1]RUAS!C76</f>
        <v>VEREADOR OTTO EGGERS</v>
      </c>
      <c r="D38" s="90" t="str">
        <f>[1]RUAS!D76</f>
        <v xml:space="preserve">MARECHAL DEODORO DA FONSECA </v>
      </c>
      <c r="E38" s="90" t="str">
        <f>RUAS!E54</f>
        <v>R</v>
      </c>
      <c r="F38" s="90">
        <f>RUAS!F54</f>
        <v>203.5</v>
      </c>
      <c r="G38" s="90">
        <f>RUAS!G54</f>
        <v>10.5</v>
      </c>
      <c r="H38" s="90">
        <f>RUAS!H54</f>
        <v>40.25</v>
      </c>
      <c r="I38" s="90">
        <f>RUAS!I54</f>
        <v>2136.75</v>
      </c>
      <c r="J38" s="90">
        <f>RUAS!J54</f>
        <v>2177</v>
      </c>
      <c r="K38" s="90">
        <f>RUAS!N54</f>
        <v>390.11839999999995</v>
      </c>
      <c r="L38" s="15">
        <v>2.2000000000000002</v>
      </c>
      <c r="M38" s="15">
        <v>4.4000000000000004</v>
      </c>
      <c r="N38" s="15"/>
      <c r="O38" s="15">
        <v>2.2000000000000002</v>
      </c>
      <c r="S38" s="1"/>
    </row>
    <row r="39" spans="1:19" ht="15" customHeight="1">
      <c r="A39" s="11" t="s">
        <v>136</v>
      </c>
      <c r="B39" s="90" t="str">
        <f>RUAS!B55</f>
        <v>LOMBADAS FRANCISCO DE SOUZA BACELAR</v>
      </c>
      <c r="C39" s="90" t="str">
        <f>[1]RUAS!C48</f>
        <v>GUSTAVO TENNIUS DE MEDEIROS</v>
      </c>
      <c r="D39" s="90" t="str">
        <f>[1]RUAS!D48</f>
        <v>CIDADÃO JOSÉ LONA</v>
      </c>
      <c r="E39" s="90" t="str">
        <f>RUAS!E55</f>
        <v>R</v>
      </c>
      <c r="F39" s="90">
        <f>RUAS!F55</f>
        <v>10.5</v>
      </c>
      <c r="G39" s="90">
        <f>RUAS!G55</f>
        <v>3.5</v>
      </c>
      <c r="H39" s="90">
        <f>RUAS!H55</f>
        <v>0</v>
      </c>
      <c r="I39" s="90">
        <f>RUAS!I55</f>
        <v>0</v>
      </c>
      <c r="J39" s="90">
        <f>RUAS!J55</f>
        <v>73.5</v>
      </c>
      <c r="K39" s="90">
        <f>RUAS!N55</f>
        <v>9.4720000000000013</v>
      </c>
      <c r="L39" s="15">
        <v>2.2000000000000002</v>
      </c>
      <c r="M39" s="15">
        <v>4.3</v>
      </c>
      <c r="N39" s="15"/>
      <c r="O39" s="15">
        <v>2</v>
      </c>
      <c r="S39" s="1"/>
    </row>
    <row r="40" spans="1:19" ht="15" customHeight="1">
      <c r="A40" s="11">
        <v>32</v>
      </c>
      <c r="B40" s="90" t="str">
        <f>RUAS!B58</f>
        <v>BERNARDINO ALVES PEREIRA</v>
      </c>
      <c r="C40" s="90" t="str">
        <f>[1]RUAS!C49</f>
        <v>ENCONTRO COM ORLANDO SAVI</v>
      </c>
      <c r="D40" s="90">
        <f>[1]RUAS!D49</f>
        <v>0</v>
      </c>
      <c r="E40" s="90" t="str">
        <f>RUAS!E58</f>
        <v>N</v>
      </c>
      <c r="F40" s="90">
        <f>RUAS!F58</f>
        <v>78</v>
      </c>
      <c r="G40" s="90">
        <f>RUAS!G58</f>
        <v>8</v>
      </c>
      <c r="H40" s="90">
        <f>RUAS!H58</f>
        <v>0</v>
      </c>
      <c r="I40" s="90">
        <f>RUAS!I58</f>
        <v>624</v>
      </c>
      <c r="J40" s="90">
        <f>RUAS!J58</f>
        <v>624</v>
      </c>
      <c r="K40" s="90">
        <f>RUAS!N58</f>
        <v>63.897600000000004</v>
      </c>
      <c r="L40" s="15">
        <v>2.2000000000000002</v>
      </c>
      <c r="M40" s="15">
        <v>1.1000000000000001</v>
      </c>
      <c r="N40" s="15"/>
      <c r="O40" s="15">
        <v>4.0999999999999996</v>
      </c>
      <c r="S40" s="1"/>
    </row>
    <row r="41" spans="1:19" ht="15" customHeight="1">
      <c r="A41" s="11">
        <v>33</v>
      </c>
      <c r="B41" s="90" t="str">
        <f>RUAS!B59</f>
        <v>TV BERNARDINO ALVES PEREIRA</v>
      </c>
      <c r="C41" s="90" t="str">
        <f>[1]RUAS!C50</f>
        <v>CIDADÃO JOSÉ LONA</v>
      </c>
      <c r="D41" s="90" t="str">
        <f>[1]RUAS!D50</f>
        <v>FRANCISCO DE PAULA DIAS</v>
      </c>
      <c r="E41" s="90" t="str">
        <f>RUAS!E59</f>
        <v>N</v>
      </c>
      <c r="F41" s="90">
        <f>RUAS!F59</f>
        <v>40</v>
      </c>
      <c r="G41" s="90">
        <f>RUAS!G59</f>
        <v>6.5</v>
      </c>
      <c r="H41" s="90">
        <f>RUAS!H59</f>
        <v>0</v>
      </c>
      <c r="I41" s="90">
        <f>RUAS!I59</f>
        <v>260</v>
      </c>
      <c r="J41" s="90">
        <f>RUAS!J59</f>
        <v>260</v>
      </c>
      <c r="K41" s="90">
        <f>RUAS!N59</f>
        <v>26.624000000000002</v>
      </c>
      <c r="L41" s="15">
        <v>2.2000000000000002</v>
      </c>
      <c r="M41" s="15">
        <v>1</v>
      </c>
      <c r="N41" s="15"/>
      <c r="O41" s="15">
        <v>4.3</v>
      </c>
      <c r="S41" s="1"/>
    </row>
    <row r="42" spans="1:19" ht="15" customHeight="1">
      <c r="A42" s="11">
        <v>34</v>
      </c>
      <c r="B42" s="90" t="str">
        <f>RUAS!B60</f>
        <v>SEBASTIAO ARAUJO</v>
      </c>
      <c r="C42" s="90" t="str">
        <f>[1]RUAS!C51</f>
        <v xml:space="preserve">FRANCISCO DE PAULA DIAS </v>
      </c>
      <c r="D42" s="90" t="str">
        <f>[1]RUAS!D51</f>
        <v>HERMINIO MILLIS</v>
      </c>
      <c r="E42" s="90" t="str">
        <f>RUAS!E60</f>
        <v>N</v>
      </c>
      <c r="F42" s="90">
        <f>RUAS!F60</f>
        <v>90</v>
      </c>
      <c r="G42" s="90">
        <f>RUAS!G60</f>
        <v>8.5</v>
      </c>
      <c r="H42" s="90">
        <f>RUAS!H60</f>
        <v>0</v>
      </c>
      <c r="I42" s="90">
        <f>RUAS!I60</f>
        <v>765</v>
      </c>
      <c r="J42" s="90">
        <f>RUAS!J60</f>
        <v>765</v>
      </c>
      <c r="K42" s="90">
        <f>RUAS!N60</f>
        <v>78.335999999999999</v>
      </c>
      <c r="L42" s="15">
        <v>2.2000000000000002</v>
      </c>
      <c r="M42" s="15">
        <v>0.85</v>
      </c>
      <c r="N42" s="15"/>
      <c r="O42" s="15">
        <v>4.4000000000000004</v>
      </c>
      <c r="S42" s="1"/>
    </row>
    <row r="43" spans="1:19">
      <c r="C43" s="92"/>
      <c r="D43" s="92"/>
      <c r="E43" s="92"/>
      <c r="F43" s="92"/>
      <c r="G43" s="92"/>
      <c r="H43" s="93"/>
      <c r="I43" s="93"/>
      <c r="J43" s="93"/>
      <c r="K43" s="94">
        <f>SUM(K6:K42)</f>
        <v>5775.5542016000009</v>
      </c>
      <c r="L43" s="74">
        <f>SUM(L6:L42)</f>
        <v>81.400000000000048</v>
      </c>
      <c r="M43" s="74">
        <f>SUM(M6:M42)</f>
        <v>230.10000000000002</v>
      </c>
      <c r="N43" s="74">
        <f>SUM(N6:N42)</f>
        <v>0</v>
      </c>
      <c r="O43" s="74">
        <f>SUM(O6:O42)</f>
        <v>193.04999999999998</v>
      </c>
      <c r="S43" s="1"/>
    </row>
    <row r="45" spans="1:19" ht="18.75">
      <c r="B45" s="95"/>
      <c r="F45" s="128" t="s">
        <v>31</v>
      </c>
      <c r="G45" s="129"/>
      <c r="H45" s="96">
        <f>SUM(J6:J42)</f>
        <v>40268.761999999995</v>
      </c>
      <c r="I45" s="13"/>
      <c r="J45" s="13"/>
      <c r="K45" s="13">
        <f>K43</f>
        <v>5775.5542016000009</v>
      </c>
      <c r="L45" s="13">
        <f>L43</f>
        <v>81.400000000000048</v>
      </c>
      <c r="M45" s="97">
        <f>M43</f>
        <v>230.10000000000002</v>
      </c>
      <c r="N45" s="13">
        <f>N43</f>
        <v>0</v>
      </c>
      <c r="O45" s="13">
        <f>O43</f>
        <v>193.04999999999998</v>
      </c>
    </row>
    <row r="46" spans="1:19" ht="18.75">
      <c r="K46" s="75" t="s">
        <v>32</v>
      </c>
      <c r="L46" s="98">
        <f>ROUND(((SUMPRODUCT(L6:L42,K6:K42))/SUM(K6:K42)),2)</f>
        <v>2.2000000000000002</v>
      </c>
      <c r="M46" s="75">
        <f>ROUND(((SUMPRODUCT(M6:M42,K6:K42))/SUM(K6:K42)),2)</f>
        <v>6.49</v>
      </c>
      <c r="N46" s="98">
        <f>ROUND((SUMPRODUCT(N6:N42,K6:K42))/SUM(K6:K42),2)</f>
        <v>0</v>
      </c>
      <c r="O46" s="75">
        <f>ROUND(((SUMPRODUCT(O6:O42,K6:K42))/SUM(K6:K42)),2)</f>
        <v>5.47</v>
      </c>
    </row>
    <row r="49" spans="3:3">
      <c r="C49" s="99"/>
    </row>
    <row r="50" spans="3:3">
      <c r="C50" s="99"/>
    </row>
    <row r="69" spans="2:17">
      <c r="B69" s="2" t="s">
        <v>123</v>
      </c>
      <c r="Q69">
        <v>9168.77</v>
      </c>
    </row>
    <row r="70" spans="2:17">
      <c r="Q70">
        <v>1173.60256</v>
      </c>
    </row>
    <row r="82" spans="2:3">
      <c r="B82" s="2" t="s">
        <v>124</v>
      </c>
      <c r="C82" s="3" t="s">
        <v>125</v>
      </c>
    </row>
    <row r="134" spans="17:17">
      <c r="Q134">
        <v>15084.6160416</v>
      </c>
    </row>
    <row r="135" spans="17:17">
      <c r="Q135">
        <v>5679.5344895999997</v>
      </c>
    </row>
    <row r="136" spans="17:17">
      <c r="Q136">
        <v>20764.150531200001</v>
      </c>
    </row>
  </sheetData>
  <mergeCells count="6">
    <mergeCell ref="F45:G45"/>
    <mergeCell ref="A1:O1"/>
    <mergeCell ref="B2:O2"/>
    <mergeCell ref="C4:D4"/>
    <mergeCell ref="L4:M4"/>
    <mergeCell ref="N4:O4"/>
  </mergeCells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RUAS</vt:lpstr>
      <vt:lpstr>DMT</vt:lpstr>
      <vt:lpstr>DMT!Area_de_impressao</vt:lpstr>
      <vt:lpstr>RUAS!Area_de_impressao</vt:lpstr>
      <vt:lpstr>RUAS!Titulos_de_impressao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estagiario</dc:creator>
  <cp:lastModifiedBy>Graciele Licita</cp:lastModifiedBy>
  <cp:lastPrinted>2022-03-08T19:22:20Z</cp:lastPrinted>
  <dcterms:created xsi:type="dcterms:W3CDTF">2018-08-21T11:21:00Z</dcterms:created>
  <dcterms:modified xsi:type="dcterms:W3CDTF">2022-03-15T13:18:14Z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1046-11.2.0.9984</vt:lpwstr>
  </property>
</Properties>
</file>